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3820"/>
  <bookViews>
    <workbookView xWindow="0" yWindow="420" windowWidth="19200" windowHeight="6765" firstSheet="1" activeTab="1"/>
  </bookViews>
  <sheets>
    <sheet name="so nguoi" sheetId="9" state="hidden" r:id="rId1"/>
    <sheet name="Khu C" sheetId="12" r:id="rId2"/>
    <sheet name="Khu C108-C214" sheetId="8" state="hidden" r:id="rId3"/>
    <sheet name="Khu K" sheetId="13" r:id="rId4"/>
    <sheet name="TỔNG HỢP" sheetId="11" state="hidden" r:id="rId5"/>
    <sheet name="Sheet1" sheetId="17" state="hidden" r:id="rId6"/>
  </sheets>
  <definedNames>
    <definedName name="_xlnm._FilterDatabase" localSheetId="1" hidden="1">'Khu C'!$A$8:$O$136</definedName>
    <definedName name="_xlnm.Print_Area" localSheetId="1">'Khu C'!$A$1:$H$141</definedName>
    <definedName name="_xlnm.Print_Area" localSheetId="2">'Khu C108-C214'!$A$1:$H$66</definedName>
    <definedName name="_xlnm.Print_Area" localSheetId="3">'Khu K'!$A$1:$H$152</definedName>
    <definedName name="_xlnm.Print_Area" localSheetId="4">'TỔNG HỢP'!$A$1:$P$21</definedName>
    <definedName name="_xlnm.Print_Titles" localSheetId="1">'Khu C'!$8:$8</definedName>
    <definedName name="_xlnm.Print_Titles" localSheetId="2">'Khu C108-C214'!$8:$8</definedName>
    <definedName name="_xlnm.Print_Titles" localSheetId="3">'Khu K'!$8:$8</definedName>
  </definedNames>
  <calcPr calcId="144525"/>
</workbook>
</file>

<file path=xl/calcChain.xml><?xml version="1.0" encoding="utf-8"?>
<calcChain xmlns="http://schemas.openxmlformats.org/spreadsheetml/2006/main">
  <c r="D18" i="13" l="1"/>
  <c r="D22" i="13"/>
  <c r="D106" i="12" l="1"/>
  <c r="D52" i="12"/>
  <c r="G115" i="12" l="1"/>
  <c r="D82" i="12" l="1"/>
  <c r="D79" i="12"/>
  <c r="D76" i="12"/>
  <c r="D34" i="13" l="1"/>
  <c r="B124" i="13" l="1"/>
  <c r="B76" i="13"/>
  <c r="B80" i="13" s="1"/>
  <c r="B84" i="13" s="1"/>
  <c r="B72" i="13"/>
  <c r="B64" i="13"/>
  <c r="B88" i="13" s="1"/>
  <c r="B92" i="13" s="1"/>
  <c r="B96" i="13" s="1"/>
  <c r="B60" i="13"/>
  <c r="B52" i="13"/>
  <c r="B48" i="13"/>
  <c r="B44" i="13"/>
  <c r="B28" i="13"/>
  <c r="B32" i="13" s="1"/>
  <c r="B36" i="13" s="1"/>
  <c r="B40" i="13" s="1"/>
  <c r="B20" i="13"/>
  <c r="B16" i="13"/>
  <c r="B125" i="12"/>
  <c r="B119" i="12"/>
  <c r="B113" i="12"/>
  <c r="B107" i="12"/>
  <c r="B101" i="12"/>
  <c r="B92" i="12"/>
  <c r="B83" i="12"/>
  <c r="B77" i="12"/>
  <c r="B71" i="12"/>
  <c r="B65" i="12"/>
  <c r="B59" i="12"/>
  <c r="B50" i="12"/>
  <c r="B44" i="12"/>
  <c r="B38" i="12"/>
  <c r="B29" i="12"/>
  <c r="B23" i="12"/>
  <c r="B14" i="12"/>
  <c r="G124" i="13" l="1"/>
  <c r="G120" i="13"/>
  <c r="A4" i="11" l="1"/>
  <c r="D97" i="12" l="1"/>
  <c r="D127" i="12"/>
  <c r="D14" i="13"/>
  <c r="O9" i="13" l="1"/>
  <c r="M9" i="13"/>
  <c r="F120" i="13"/>
  <c r="D94" i="12"/>
  <c r="C124" i="13" l="1"/>
  <c r="C48" i="13" l="1"/>
  <c r="C52" i="13" s="1"/>
  <c r="D10" i="13"/>
  <c r="D10" i="12" l="1"/>
  <c r="N6" i="13" l="1"/>
  <c r="N5" i="13"/>
  <c r="N9" i="13" l="1"/>
  <c r="N8" i="13"/>
  <c r="N7" i="13"/>
  <c r="M6" i="13"/>
  <c r="C72" i="13" l="1"/>
  <c r="C76" i="13" s="1"/>
  <c r="C80" i="13" s="1"/>
  <c r="C84" i="13" s="1"/>
  <c r="C64" i="13"/>
  <c r="C88" i="13" s="1"/>
  <c r="C92" i="13" s="1"/>
  <c r="C96" i="13" s="1"/>
  <c r="C60" i="13"/>
  <c r="C28" i="13"/>
  <c r="C32" i="13" s="1"/>
  <c r="C36" i="13" s="1"/>
  <c r="C40" i="13" s="1"/>
  <c r="C20" i="13"/>
  <c r="C44" i="13" s="1"/>
  <c r="C16" i="13"/>
  <c r="C125" i="12"/>
  <c r="C119" i="12"/>
  <c r="C113" i="12"/>
  <c r="C107" i="12"/>
  <c r="C101" i="12"/>
  <c r="C92" i="12"/>
  <c r="C83" i="12"/>
  <c r="C77" i="12"/>
  <c r="C71" i="12"/>
  <c r="C65" i="12"/>
  <c r="C59" i="12"/>
  <c r="C50" i="12"/>
  <c r="C44" i="12"/>
  <c r="C38" i="12"/>
  <c r="C29" i="12"/>
  <c r="C23" i="12"/>
  <c r="C14" i="12"/>
  <c r="E31" i="12" l="1"/>
  <c r="F31" i="12" s="1"/>
  <c r="G31" i="12" s="1"/>
  <c r="F24" i="9" l="1"/>
  <c r="D24" i="9" l="1"/>
  <c r="B24" i="9"/>
  <c r="E26" i="13" l="1"/>
  <c r="D138" i="13" l="1"/>
  <c r="D134" i="13"/>
  <c r="D130" i="13"/>
  <c r="D126" i="13"/>
  <c r="D122" i="13"/>
  <c r="D114" i="13"/>
  <c r="D110" i="13"/>
  <c r="D106" i="13"/>
  <c r="D102" i="13"/>
  <c r="D98" i="13"/>
  <c r="D94" i="13"/>
  <c r="D90" i="13"/>
  <c r="D86" i="13"/>
  <c r="D82" i="13"/>
  <c r="D78" i="13"/>
  <c r="D74" i="13"/>
  <c r="D70" i="13"/>
  <c r="D66" i="13"/>
  <c r="E140" i="13"/>
  <c r="E139" i="13"/>
  <c r="F139" i="13" s="1"/>
  <c r="G139" i="13" s="1"/>
  <c r="E138" i="13"/>
  <c r="F138" i="13" s="1"/>
  <c r="G138" i="13" s="1"/>
  <c r="E136" i="13"/>
  <c r="E135" i="13"/>
  <c r="F135" i="13" s="1"/>
  <c r="G135" i="13" s="1"/>
  <c r="E134" i="13"/>
  <c r="F134" i="13" s="1"/>
  <c r="G134" i="13" s="1"/>
  <c r="E132" i="13"/>
  <c r="E131" i="13"/>
  <c r="F131" i="13" s="1"/>
  <c r="G131" i="13" s="1"/>
  <c r="E130" i="13"/>
  <c r="F130" i="13" s="1"/>
  <c r="G130" i="13" s="1"/>
  <c r="E128" i="13"/>
  <c r="E127" i="13"/>
  <c r="F127" i="13" s="1"/>
  <c r="G127" i="13" s="1"/>
  <c r="E126" i="13"/>
  <c r="F126" i="13" s="1"/>
  <c r="G126" i="13" s="1"/>
  <c r="E124" i="13"/>
  <c r="E123" i="13"/>
  <c r="F123" i="13" s="1"/>
  <c r="G123" i="13" s="1"/>
  <c r="E122" i="13"/>
  <c r="F122" i="13" s="1"/>
  <c r="G122" i="13" s="1"/>
  <c r="E120" i="13"/>
  <c r="E119" i="13"/>
  <c r="F119" i="13" s="1"/>
  <c r="G119" i="13" s="1"/>
  <c r="E118" i="13"/>
  <c r="F118" i="13" s="1"/>
  <c r="G118" i="13" s="1"/>
  <c r="E116" i="13"/>
  <c r="E115" i="13"/>
  <c r="F115" i="13" s="1"/>
  <c r="G115" i="13" s="1"/>
  <c r="E114" i="13"/>
  <c r="F114" i="13" s="1"/>
  <c r="G114" i="13" s="1"/>
  <c r="E112" i="13"/>
  <c r="E111" i="13"/>
  <c r="F111" i="13" s="1"/>
  <c r="G111" i="13" s="1"/>
  <c r="E110" i="13"/>
  <c r="F110" i="13" s="1"/>
  <c r="G110" i="13" s="1"/>
  <c r="E108" i="13"/>
  <c r="E107" i="13"/>
  <c r="F107" i="13" s="1"/>
  <c r="G107" i="13" s="1"/>
  <c r="E106" i="13"/>
  <c r="F106" i="13" s="1"/>
  <c r="G106" i="13" s="1"/>
  <c r="D62" i="13"/>
  <c r="D58" i="13"/>
  <c r="D54" i="13"/>
  <c r="D50" i="13"/>
  <c r="E104" i="13" l="1"/>
  <c r="E103" i="13"/>
  <c r="F103" i="13" s="1"/>
  <c r="G103" i="13" s="1"/>
  <c r="E102" i="13"/>
  <c r="F102" i="13" s="1"/>
  <c r="G102" i="13" s="1"/>
  <c r="I101" i="13"/>
  <c r="E100" i="13"/>
  <c r="E99" i="13"/>
  <c r="F99" i="13" s="1"/>
  <c r="G99" i="13" s="1"/>
  <c r="E98" i="13"/>
  <c r="F98" i="13" s="1"/>
  <c r="G98" i="13" s="1"/>
  <c r="I97" i="13"/>
  <c r="E96" i="13"/>
  <c r="E95" i="13"/>
  <c r="F95" i="13" s="1"/>
  <c r="G95" i="13" s="1"/>
  <c r="E94" i="13"/>
  <c r="F94" i="13" s="1"/>
  <c r="G94" i="13" s="1"/>
  <c r="I93" i="13"/>
  <c r="E92" i="13"/>
  <c r="E91" i="13"/>
  <c r="F91" i="13" s="1"/>
  <c r="G91" i="13" s="1"/>
  <c r="E90" i="13"/>
  <c r="F90" i="13" s="1"/>
  <c r="G90" i="13" s="1"/>
  <c r="I89" i="13"/>
  <c r="E88" i="13"/>
  <c r="E87" i="13"/>
  <c r="F87" i="13" s="1"/>
  <c r="G87" i="13" s="1"/>
  <c r="E86" i="13"/>
  <c r="F86" i="13" s="1"/>
  <c r="G86" i="13" s="1"/>
  <c r="I85" i="13"/>
  <c r="E84" i="13"/>
  <c r="E83" i="13"/>
  <c r="F83" i="13" s="1"/>
  <c r="G83" i="13" s="1"/>
  <c r="E82" i="13"/>
  <c r="F82" i="13" s="1"/>
  <c r="G82" i="13" s="1"/>
  <c r="I81" i="13"/>
  <c r="E80" i="13"/>
  <c r="E79" i="13"/>
  <c r="F79" i="13" s="1"/>
  <c r="G79" i="13" s="1"/>
  <c r="E78" i="13"/>
  <c r="F78" i="13" s="1"/>
  <c r="G78" i="13" s="1"/>
  <c r="I77" i="13"/>
  <c r="E76" i="13"/>
  <c r="E75" i="13"/>
  <c r="F75" i="13" s="1"/>
  <c r="G75" i="13" s="1"/>
  <c r="E74" i="13"/>
  <c r="F74" i="13" s="1"/>
  <c r="G74" i="13" s="1"/>
  <c r="I73" i="13"/>
  <c r="E72" i="13"/>
  <c r="E71" i="13"/>
  <c r="F71" i="13" s="1"/>
  <c r="G71" i="13" s="1"/>
  <c r="E70" i="13"/>
  <c r="F70" i="13" s="1"/>
  <c r="G70" i="13" s="1"/>
  <c r="I69" i="13"/>
  <c r="E68" i="13"/>
  <c r="E67" i="13"/>
  <c r="F67" i="13" s="1"/>
  <c r="G67" i="13" s="1"/>
  <c r="E66" i="13"/>
  <c r="F66" i="13" s="1"/>
  <c r="G66" i="13" s="1"/>
  <c r="I65" i="13"/>
  <c r="E64" i="13"/>
  <c r="E63" i="13"/>
  <c r="F63" i="13" s="1"/>
  <c r="G63" i="13" s="1"/>
  <c r="E62" i="13"/>
  <c r="F62" i="13" s="1"/>
  <c r="G62" i="13" s="1"/>
  <c r="I61" i="13"/>
  <c r="E60" i="13"/>
  <c r="E59" i="13"/>
  <c r="F59" i="13" s="1"/>
  <c r="G59" i="13" s="1"/>
  <c r="E58" i="13"/>
  <c r="F58" i="13" s="1"/>
  <c r="G58" i="13" s="1"/>
  <c r="I57" i="13"/>
  <c r="E56" i="13"/>
  <c r="E55" i="13"/>
  <c r="F55" i="13" s="1"/>
  <c r="G55" i="13" s="1"/>
  <c r="E54" i="13"/>
  <c r="F54" i="13" s="1"/>
  <c r="G54" i="13" s="1"/>
  <c r="I53" i="13"/>
  <c r="E52" i="13"/>
  <c r="E51" i="13"/>
  <c r="F51" i="13" s="1"/>
  <c r="G51" i="13" s="1"/>
  <c r="E50" i="13"/>
  <c r="F50" i="13" s="1"/>
  <c r="G50" i="13" s="1"/>
  <c r="I49" i="13"/>
  <c r="E48" i="13"/>
  <c r="E47" i="13"/>
  <c r="F47" i="13" s="1"/>
  <c r="G47" i="13" s="1"/>
  <c r="E46" i="13"/>
  <c r="F46" i="13" s="1"/>
  <c r="G46" i="13" s="1"/>
  <c r="D46" i="13"/>
  <c r="I45" i="13"/>
  <c r="E44" i="13"/>
  <c r="E43" i="13"/>
  <c r="F43" i="13" s="1"/>
  <c r="G43" i="13" s="1"/>
  <c r="E42" i="13"/>
  <c r="F42" i="13" s="1"/>
  <c r="G42" i="13" s="1"/>
  <c r="D42" i="13"/>
  <c r="I41" i="13"/>
  <c r="E40" i="13"/>
  <c r="E39" i="13"/>
  <c r="F39" i="13" s="1"/>
  <c r="G39" i="13" s="1"/>
  <c r="E38" i="13"/>
  <c r="F38" i="13" s="1"/>
  <c r="G38" i="13" s="1"/>
  <c r="D38" i="13"/>
  <c r="I37" i="13"/>
  <c r="E36" i="13"/>
  <c r="E35" i="13"/>
  <c r="F35" i="13" s="1"/>
  <c r="G35" i="13" s="1"/>
  <c r="E34" i="13"/>
  <c r="F34" i="13" s="1"/>
  <c r="G34" i="13" s="1"/>
  <c r="I33" i="13"/>
  <c r="H24" i="9" l="1"/>
  <c r="J24" i="9" l="1"/>
  <c r="L24" i="9"/>
  <c r="N24" i="9"/>
  <c r="E56" i="12" l="1"/>
  <c r="E55" i="12"/>
  <c r="D28" i="12" l="1"/>
  <c r="D25" i="12"/>
  <c r="E131" i="12" l="1"/>
  <c r="F131" i="12" s="1"/>
  <c r="G131" i="12" s="1"/>
  <c r="E130" i="12"/>
  <c r="F130" i="12" s="1"/>
  <c r="G130" i="12" s="1"/>
  <c r="D130" i="12"/>
  <c r="H129" i="12" l="1"/>
  <c r="L53" i="12" l="1"/>
  <c r="L52" i="12"/>
  <c r="E127" i="12" l="1"/>
  <c r="F127" i="12" s="1"/>
  <c r="G127" i="12" s="1"/>
  <c r="E128" i="12"/>
  <c r="E124" i="12"/>
  <c r="F124" i="12" s="1"/>
  <c r="G124" i="12" s="1"/>
  <c r="D124" i="12"/>
  <c r="E122" i="12"/>
  <c r="E121" i="12"/>
  <c r="F121" i="12" s="1"/>
  <c r="G121" i="12" s="1"/>
  <c r="D121" i="12"/>
  <c r="E118" i="12"/>
  <c r="F118" i="12" s="1"/>
  <c r="G118" i="12" s="1"/>
  <c r="D118" i="12"/>
  <c r="E116" i="12"/>
  <c r="E115" i="12"/>
  <c r="F115" i="12" s="1"/>
  <c r="D115" i="12"/>
  <c r="E85" i="12"/>
  <c r="F85" i="12" s="1"/>
  <c r="G85" i="12" s="1"/>
  <c r="D85" i="12"/>
  <c r="J71" i="12"/>
  <c r="J70" i="12"/>
  <c r="E86" i="12"/>
  <c r="F86" i="12" s="1"/>
  <c r="G86" i="12" l="1"/>
  <c r="E125" i="12"/>
  <c r="F128" i="12"/>
  <c r="G128" i="12" s="1"/>
  <c r="E119" i="12"/>
  <c r="F119" i="12" s="1"/>
  <c r="G119" i="12" s="1"/>
  <c r="F122" i="12"/>
  <c r="G122" i="12" s="1"/>
  <c r="F125" i="12"/>
  <c r="G125" i="12" s="1"/>
  <c r="F116" i="12"/>
  <c r="G116" i="12" s="1"/>
  <c r="H120" i="12" l="1"/>
  <c r="H117" i="12"/>
  <c r="H114" i="12"/>
  <c r="H123" i="12"/>
  <c r="H126" i="12" l="1"/>
  <c r="E112" i="12"/>
  <c r="F112" i="12" s="1"/>
  <c r="D112" i="12"/>
  <c r="E110" i="12"/>
  <c r="E109" i="12"/>
  <c r="F109" i="12" s="1"/>
  <c r="D109" i="12"/>
  <c r="E106" i="12"/>
  <c r="F106" i="12" s="1"/>
  <c r="E104" i="12"/>
  <c r="E103" i="12"/>
  <c r="F103" i="12" s="1"/>
  <c r="D103" i="12"/>
  <c r="E100" i="12"/>
  <c r="F100" i="12" s="1"/>
  <c r="D100" i="12"/>
  <c r="E98" i="12"/>
  <c r="E97" i="12"/>
  <c r="F97" i="12" s="1"/>
  <c r="E95" i="12"/>
  <c r="F95" i="12" s="1"/>
  <c r="E94" i="12"/>
  <c r="F94" i="12" s="1"/>
  <c r="E91" i="12"/>
  <c r="F91" i="12" s="1"/>
  <c r="D91" i="12"/>
  <c r="E89" i="12"/>
  <c r="E88" i="12"/>
  <c r="F88" i="12" s="1"/>
  <c r="D88" i="12"/>
  <c r="E82" i="12"/>
  <c r="F82" i="12" s="1"/>
  <c r="H84" i="12"/>
  <c r="E80" i="12"/>
  <c r="E79" i="12"/>
  <c r="F79" i="12" s="1"/>
  <c r="E76" i="12"/>
  <c r="F76" i="12" s="1"/>
  <c r="E74" i="12"/>
  <c r="E73" i="12"/>
  <c r="F73" i="12" s="1"/>
  <c r="D73" i="12"/>
  <c r="E71" i="12"/>
  <c r="E70" i="12"/>
  <c r="F70" i="12" s="1"/>
  <c r="D70" i="12"/>
  <c r="E68" i="12"/>
  <c r="E67" i="12"/>
  <c r="F67" i="12" s="1"/>
  <c r="D67" i="12"/>
  <c r="G67" i="12" l="1"/>
  <c r="G73" i="12"/>
  <c r="G79" i="12"/>
  <c r="G91" i="12"/>
  <c r="G95" i="12"/>
  <c r="G100" i="12"/>
  <c r="G103" i="12"/>
  <c r="G106" i="12"/>
  <c r="G109" i="12"/>
  <c r="G70" i="12"/>
  <c r="G76" i="12"/>
  <c r="G82" i="12"/>
  <c r="G88" i="12"/>
  <c r="G94" i="12"/>
  <c r="G97" i="12"/>
  <c r="G112" i="12"/>
  <c r="E77" i="12"/>
  <c r="F77" i="12" s="1"/>
  <c r="G77" i="12" s="1"/>
  <c r="F104" i="12"/>
  <c r="F71" i="12"/>
  <c r="G71" i="12" s="1"/>
  <c r="F98" i="12"/>
  <c r="G98" i="12" s="1"/>
  <c r="F89" i="12"/>
  <c r="G89" i="12" s="1"/>
  <c r="F80" i="12"/>
  <c r="G80" i="12" s="1"/>
  <c r="E101" i="12"/>
  <c r="F101" i="12" s="1"/>
  <c r="E92" i="12"/>
  <c r="F92" i="12" s="1"/>
  <c r="G92" i="12" s="1"/>
  <c r="E107" i="12"/>
  <c r="F107" i="12" s="1"/>
  <c r="F68" i="12"/>
  <c r="G68" i="12" s="1"/>
  <c r="F110" i="12"/>
  <c r="G110" i="12" s="1"/>
  <c r="F74" i="12"/>
  <c r="G74" i="12" s="1"/>
  <c r="E83" i="12"/>
  <c r="F83" i="12" s="1"/>
  <c r="G83" i="12" s="1"/>
  <c r="E113" i="12"/>
  <c r="F113" i="12" s="1"/>
  <c r="E55" i="8"/>
  <c r="F55" i="8" s="1"/>
  <c r="G55" i="8" s="1"/>
  <c r="D55" i="8"/>
  <c r="B53" i="8"/>
  <c r="B56" i="8" s="1"/>
  <c r="B47" i="8"/>
  <c r="B41" i="8"/>
  <c r="B32" i="8"/>
  <c r="B26" i="8"/>
  <c r="B20" i="8"/>
  <c r="B14" i="8"/>
  <c r="G107" i="12" l="1"/>
  <c r="G113" i="12"/>
  <c r="G101" i="12"/>
  <c r="H99" i="12" s="1"/>
  <c r="G104" i="12"/>
  <c r="H93" i="12"/>
  <c r="H87" i="12"/>
  <c r="H69" i="12"/>
  <c r="H111" i="12"/>
  <c r="H90" i="12"/>
  <c r="H78" i="12"/>
  <c r="H108" i="12"/>
  <c r="H66" i="12"/>
  <c r="H105" i="12"/>
  <c r="H81" i="12"/>
  <c r="H72" i="12"/>
  <c r="H75" i="12"/>
  <c r="E31" i="13"/>
  <c r="F31" i="13" s="1"/>
  <c r="E30" i="13"/>
  <c r="F30" i="13" s="1"/>
  <c r="D30" i="13"/>
  <c r="I29" i="13"/>
  <c r="E27" i="13"/>
  <c r="F27" i="13" s="1"/>
  <c r="F26" i="13"/>
  <c r="D26" i="13"/>
  <c r="I25" i="13"/>
  <c r="E23" i="13"/>
  <c r="F23" i="13" s="1"/>
  <c r="E22" i="13"/>
  <c r="F22" i="13" s="1"/>
  <c r="I21" i="13"/>
  <c r="E19" i="13"/>
  <c r="F19" i="13" s="1"/>
  <c r="E18" i="13"/>
  <c r="F18" i="13" s="1"/>
  <c r="E15" i="13"/>
  <c r="F15" i="13" s="1"/>
  <c r="G15" i="13" s="1"/>
  <c r="E14" i="13"/>
  <c r="F14" i="13" s="1"/>
  <c r="G14" i="13" s="1"/>
  <c r="E11" i="13"/>
  <c r="F11" i="13" s="1"/>
  <c r="M10" i="13"/>
  <c r="E10" i="13"/>
  <c r="M8" i="13"/>
  <c r="O8" i="13" s="1"/>
  <c r="M7" i="13"/>
  <c r="M5" i="13"/>
  <c r="F135" i="12"/>
  <c r="E65" i="12"/>
  <c r="E64" i="12"/>
  <c r="F64" i="12" s="1"/>
  <c r="D64" i="12"/>
  <c r="E62" i="12"/>
  <c r="J61" i="12"/>
  <c r="E61" i="12"/>
  <c r="F61" i="12" s="1"/>
  <c r="D61" i="12"/>
  <c r="J60" i="12"/>
  <c r="J59" i="12"/>
  <c r="J58" i="12"/>
  <c r="E58" i="12"/>
  <c r="F58" i="12" s="1"/>
  <c r="D58" i="12"/>
  <c r="J57" i="12"/>
  <c r="J56" i="12"/>
  <c r="J55" i="12"/>
  <c r="F55" i="12"/>
  <c r="D55" i="12"/>
  <c r="J54" i="12"/>
  <c r="J53" i="12"/>
  <c r="E53" i="12"/>
  <c r="F53" i="12" s="1"/>
  <c r="J52" i="12"/>
  <c r="E52" i="12"/>
  <c r="F52" i="12" s="1"/>
  <c r="J51" i="12"/>
  <c r="J50" i="12"/>
  <c r="E50" i="12"/>
  <c r="J49" i="12"/>
  <c r="E49" i="12"/>
  <c r="F49" i="12" s="1"/>
  <c r="D49" i="12"/>
  <c r="E47" i="12"/>
  <c r="N46" i="12"/>
  <c r="M46" i="12"/>
  <c r="E46" i="12"/>
  <c r="F46" i="12" s="1"/>
  <c r="D46" i="12"/>
  <c r="N45" i="12"/>
  <c r="M45" i="12"/>
  <c r="E43" i="12"/>
  <c r="F43" i="12" s="1"/>
  <c r="D43" i="12"/>
  <c r="E41" i="12"/>
  <c r="E40" i="12"/>
  <c r="F40" i="12" s="1"/>
  <c r="D40" i="12"/>
  <c r="E37" i="12"/>
  <c r="F37" i="12" s="1"/>
  <c r="D37" i="12"/>
  <c r="E35" i="12"/>
  <c r="E34" i="12"/>
  <c r="F34" i="12" s="1"/>
  <c r="D34" i="12"/>
  <c r="J32" i="12"/>
  <c r="E32" i="12"/>
  <c r="F32" i="12" s="1"/>
  <c r="J31" i="12"/>
  <c r="D31" i="12"/>
  <c r="J30" i="12"/>
  <c r="J29" i="12"/>
  <c r="K31" i="12" s="1"/>
  <c r="J28" i="12"/>
  <c r="K30" i="12" s="1"/>
  <c r="E28" i="12"/>
  <c r="F28" i="12" s="1"/>
  <c r="J27" i="12"/>
  <c r="K29" i="12" s="1"/>
  <c r="J26" i="12"/>
  <c r="K28" i="12" s="1"/>
  <c r="E26" i="12"/>
  <c r="J25" i="12"/>
  <c r="K27" i="12" s="1"/>
  <c r="E25" i="12"/>
  <c r="F25" i="12" s="1"/>
  <c r="J24" i="12"/>
  <c r="K26" i="12" s="1"/>
  <c r="J23" i="12"/>
  <c r="K25" i="12" s="1"/>
  <c r="E23" i="12"/>
  <c r="J22" i="12"/>
  <c r="K24" i="12" s="1"/>
  <c r="E22" i="12"/>
  <c r="F22" i="12" s="1"/>
  <c r="D22" i="12"/>
  <c r="J21" i="12"/>
  <c r="K23" i="12" s="1"/>
  <c r="J20" i="12"/>
  <c r="K22" i="12" s="1"/>
  <c r="E20" i="12"/>
  <c r="J19" i="12"/>
  <c r="K21" i="12" s="1"/>
  <c r="E19" i="12"/>
  <c r="F19" i="12" s="1"/>
  <c r="D19" i="12"/>
  <c r="J18" i="12"/>
  <c r="K20" i="12" s="1"/>
  <c r="J17" i="12"/>
  <c r="K19" i="12" s="1"/>
  <c r="E17" i="12"/>
  <c r="F17" i="12" s="1"/>
  <c r="J16" i="12"/>
  <c r="K18" i="12" s="1"/>
  <c r="E16" i="12"/>
  <c r="F16" i="12" s="1"/>
  <c r="G16" i="12" s="1"/>
  <c r="D16" i="12"/>
  <c r="J15" i="12"/>
  <c r="K17" i="12" s="1"/>
  <c r="E14" i="12"/>
  <c r="E13" i="12"/>
  <c r="F13" i="12" s="1"/>
  <c r="D13" i="12"/>
  <c r="E11" i="12"/>
  <c r="N10" i="12"/>
  <c r="M10" i="12"/>
  <c r="E10" i="12"/>
  <c r="N9" i="12"/>
  <c r="M9" i="12"/>
  <c r="N8" i="12"/>
  <c r="M8" i="12"/>
  <c r="N7" i="12"/>
  <c r="M7" i="12"/>
  <c r="N6" i="12"/>
  <c r="M6" i="12"/>
  <c r="N5" i="12"/>
  <c r="M5" i="12"/>
  <c r="G11" i="13" l="1"/>
  <c r="G18" i="13"/>
  <c r="G22" i="13"/>
  <c r="G26" i="13"/>
  <c r="G30" i="13"/>
  <c r="G19" i="13"/>
  <c r="G23" i="13"/>
  <c r="G27" i="13"/>
  <c r="G31" i="13"/>
  <c r="G37" i="12"/>
  <c r="G40" i="12"/>
  <c r="G49" i="12"/>
  <c r="G52" i="12"/>
  <c r="G53" i="12"/>
  <c r="G55" i="12"/>
  <c r="G61" i="12"/>
  <c r="G64" i="12"/>
  <c r="G25" i="12"/>
  <c r="G32" i="12"/>
  <c r="G13" i="12"/>
  <c r="G17" i="12"/>
  <c r="G19" i="12"/>
  <c r="G22" i="12"/>
  <c r="G28" i="12"/>
  <c r="G34" i="12"/>
  <c r="G43" i="12"/>
  <c r="G46" i="12"/>
  <c r="G58" i="12"/>
  <c r="H96" i="12"/>
  <c r="F10" i="13"/>
  <c r="G10" i="13" s="1"/>
  <c r="F10" i="12"/>
  <c r="G10" i="12" s="1"/>
  <c r="H102" i="12"/>
  <c r="F11" i="12"/>
  <c r="G11" i="12" s="1"/>
  <c r="O46" i="12"/>
  <c r="F23" i="12"/>
  <c r="G23" i="12" s="1"/>
  <c r="J102" i="12"/>
  <c r="I102" i="12"/>
  <c r="O10" i="12"/>
  <c r="F14" i="12"/>
  <c r="G14" i="12" s="1"/>
  <c r="E12" i="13"/>
  <c r="O6" i="12"/>
  <c r="O8" i="12"/>
  <c r="F35" i="12"/>
  <c r="G35" i="12" s="1"/>
  <c r="F47" i="12"/>
  <c r="G47" i="12" s="1"/>
  <c r="F26" i="12"/>
  <c r="G26" i="12" s="1"/>
  <c r="F62" i="12"/>
  <c r="G62" i="12" s="1"/>
  <c r="F41" i="12"/>
  <c r="G41" i="12" s="1"/>
  <c r="F20" i="12"/>
  <c r="G20" i="12" s="1"/>
  <c r="E38" i="12"/>
  <c r="F38" i="12" s="1"/>
  <c r="G38" i="12" s="1"/>
  <c r="E44" i="12"/>
  <c r="F44" i="12" s="1"/>
  <c r="G44" i="12" s="1"/>
  <c r="E29" i="12"/>
  <c r="F29" i="12" s="1"/>
  <c r="G29" i="12" s="1"/>
  <c r="O45" i="12"/>
  <c r="E16" i="13"/>
  <c r="E20" i="13"/>
  <c r="O5" i="13"/>
  <c r="O7" i="13"/>
  <c r="O10" i="13"/>
  <c r="E28" i="13"/>
  <c r="E24" i="13"/>
  <c r="E32" i="13"/>
  <c r="O6" i="13"/>
  <c r="F65" i="12"/>
  <c r="G65" i="12" s="1"/>
  <c r="O5" i="12"/>
  <c r="O7" i="12"/>
  <c r="O9" i="12"/>
  <c r="E59" i="12"/>
  <c r="F59" i="12" s="1"/>
  <c r="G59" i="12" s="1"/>
  <c r="F50" i="12"/>
  <c r="G50" i="12" s="1"/>
  <c r="F56" i="12"/>
  <c r="G56" i="12" s="1"/>
  <c r="G132" i="12" l="1"/>
  <c r="H33" i="12"/>
  <c r="H51" i="12"/>
  <c r="H30" i="12"/>
  <c r="H15" i="12"/>
  <c r="F124" i="13"/>
  <c r="F80" i="13"/>
  <c r="G80" i="13" s="1"/>
  <c r="F72" i="13"/>
  <c r="G72" i="13" s="1"/>
  <c r="F84" i="13"/>
  <c r="G84" i="13" s="1"/>
  <c r="F76" i="13"/>
  <c r="G76" i="13" s="1"/>
  <c r="F68" i="13"/>
  <c r="G68" i="13" s="1"/>
  <c r="F96" i="13"/>
  <c r="G96" i="13" s="1"/>
  <c r="F56" i="13"/>
  <c r="G56" i="13" s="1"/>
  <c r="F92" i="13"/>
  <c r="G92" i="13" s="1"/>
  <c r="F60" i="13"/>
  <c r="G60" i="13" s="1"/>
  <c r="F88" i="13"/>
  <c r="G88" i="13" s="1"/>
  <c r="F64" i="13"/>
  <c r="G64" i="13" s="1"/>
  <c r="F36" i="13"/>
  <c r="G36" i="13" s="1"/>
  <c r="F28" i="13"/>
  <c r="G28" i="13" s="1"/>
  <c r="F24" i="13"/>
  <c r="F40" i="13"/>
  <c r="G40" i="13" s="1"/>
  <c r="F32" i="13"/>
  <c r="G32" i="13" s="1"/>
  <c r="F44" i="13"/>
  <c r="G44" i="13" s="1"/>
  <c r="F20" i="13"/>
  <c r="G20" i="13" s="1"/>
  <c r="F12" i="13"/>
  <c r="H133" i="12"/>
  <c r="F136" i="13"/>
  <c r="G136" i="13" s="1"/>
  <c r="F132" i="13"/>
  <c r="G132" i="13" s="1"/>
  <c r="F116" i="13"/>
  <c r="G116" i="13" s="1"/>
  <c r="F112" i="13"/>
  <c r="G112" i="13" s="1"/>
  <c r="F140" i="13"/>
  <c r="G140" i="13" s="1"/>
  <c r="F128" i="13"/>
  <c r="G128" i="13" s="1"/>
  <c r="F104" i="13"/>
  <c r="G104" i="13" s="1"/>
  <c r="F100" i="13"/>
  <c r="G100" i="13" s="1"/>
  <c r="F52" i="13"/>
  <c r="G52" i="13" s="1"/>
  <c r="F108" i="13"/>
  <c r="G108" i="13" s="1"/>
  <c r="F48" i="13"/>
  <c r="G48" i="13" s="1"/>
  <c r="I119" i="12"/>
  <c r="H132" i="12"/>
  <c r="I113" i="12"/>
  <c r="I125" i="12"/>
  <c r="I128" i="12"/>
  <c r="H12" i="12"/>
  <c r="H42" i="12"/>
  <c r="H60" i="12"/>
  <c r="H21" i="12"/>
  <c r="H36" i="12"/>
  <c r="H24" i="12"/>
  <c r="H63" i="12"/>
  <c r="H18" i="12"/>
  <c r="H54" i="12"/>
  <c r="H48" i="12"/>
  <c r="H39" i="12"/>
  <c r="F16" i="13"/>
  <c r="G16" i="13" s="1"/>
  <c r="H27" i="12"/>
  <c r="H57" i="12"/>
  <c r="G12" i="13" l="1"/>
  <c r="H9" i="13" s="1"/>
  <c r="G24" i="13"/>
  <c r="H45" i="12"/>
  <c r="G133" i="12"/>
  <c r="G134" i="12" s="1"/>
  <c r="C9" i="11"/>
  <c r="G141" i="13"/>
  <c r="C10" i="11" s="1"/>
  <c r="H9" i="12"/>
  <c r="H105" i="13"/>
  <c r="H101" i="13"/>
  <c r="H137" i="13"/>
  <c r="H109" i="13"/>
  <c r="H129" i="13"/>
  <c r="H117" i="13"/>
  <c r="H97" i="13"/>
  <c r="H125" i="13"/>
  <c r="H121" i="13"/>
  <c r="H113" i="13"/>
  <c r="H133" i="13"/>
  <c r="H17" i="13"/>
  <c r="H57" i="13"/>
  <c r="H65" i="13"/>
  <c r="H73" i="13"/>
  <c r="H81" i="13"/>
  <c r="H89" i="13"/>
  <c r="H53" i="13"/>
  <c r="H61" i="13"/>
  <c r="H69" i="13"/>
  <c r="H77" i="13"/>
  <c r="H85" i="13"/>
  <c r="H93" i="13"/>
  <c r="H41" i="13"/>
  <c r="H37" i="13"/>
  <c r="H49" i="13"/>
  <c r="H33" i="13"/>
  <c r="H45" i="13"/>
  <c r="H141" i="13"/>
  <c r="H142" i="13"/>
  <c r="I133" i="12"/>
  <c r="I132" i="12"/>
  <c r="H25" i="13"/>
  <c r="H21" i="13"/>
  <c r="H13" i="13"/>
  <c r="H29" i="13"/>
  <c r="C53" i="8"/>
  <c r="C56" i="8" s="1"/>
  <c r="E56" i="8" s="1"/>
  <c r="D52" i="8"/>
  <c r="E52" i="8"/>
  <c r="F52" i="8" s="1"/>
  <c r="G52" i="8" s="1"/>
  <c r="G142" i="13" l="1"/>
  <c r="D10" i="11" s="1"/>
  <c r="D9" i="11"/>
  <c r="I141" i="13"/>
  <c r="I142" i="13"/>
  <c r="I134" i="12"/>
  <c r="I131" i="12"/>
  <c r="I129" i="12"/>
  <c r="F56" i="8"/>
  <c r="G56" i="8" s="1"/>
  <c r="H54" i="8" s="1"/>
  <c r="E53" i="8"/>
  <c r="D13" i="11"/>
  <c r="M6" i="11"/>
  <c r="M5" i="11"/>
  <c r="D10" i="8"/>
  <c r="C32" i="8"/>
  <c r="J142" i="13" l="1"/>
  <c r="K142" i="13"/>
  <c r="G143" i="13"/>
  <c r="J134" i="12"/>
  <c r="I136" i="12"/>
  <c r="C14" i="8"/>
  <c r="E14" i="8" s="1"/>
  <c r="C47" i="8"/>
  <c r="E47" i="8" s="1"/>
  <c r="C41" i="8"/>
  <c r="C26" i="8"/>
  <c r="E26" i="8" s="1"/>
  <c r="C20" i="8"/>
  <c r="E20" i="8" s="1"/>
  <c r="D49" i="8"/>
  <c r="D46" i="8"/>
  <c r="D43" i="8"/>
  <c r="D37" i="8"/>
  <c r="D34" i="8"/>
  <c r="D31" i="8"/>
  <c r="D28" i="8"/>
  <c r="D25" i="8"/>
  <c r="D22" i="8"/>
  <c r="D19" i="8"/>
  <c r="D16" i="8"/>
  <c r="D13" i="8"/>
  <c r="F14" i="8" s="1"/>
  <c r="E19" i="8"/>
  <c r="F19" i="8" s="1"/>
  <c r="G19" i="8" s="1"/>
  <c r="E17" i="8"/>
  <c r="E16" i="8"/>
  <c r="F16" i="8" s="1"/>
  <c r="G16" i="8" s="1"/>
  <c r="E13" i="8"/>
  <c r="F13" i="8" s="1"/>
  <c r="G13" i="8" s="1"/>
  <c r="E11" i="8"/>
  <c r="E10" i="8"/>
  <c r="F10" i="8" s="1"/>
  <c r="E25" i="8"/>
  <c r="F25" i="8" s="1"/>
  <c r="G25" i="8" s="1"/>
  <c r="E23" i="8"/>
  <c r="E22" i="8"/>
  <c r="F22" i="8" s="1"/>
  <c r="G22" i="8" s="1"/>
  <c r="E28" i="8"/>
  <c r="F28" i="8" s="1"/>
  <c r="G28" i="8" s="1"/>
  <c r="E29" i="8"/>
  <c r="E31" i="8"/>
  <c r="F31" i="8" s="1"/>
  <c r="G31" i="8" s="1"/>
  <c r="E32" i="8"/>
  <c r="E34" i="8"/>
  <c r="F34" i="8" s="1"/>
  <c r="G34" i="8" s="1"/>
  <c r="E35" i="8"/>
  <c r="F35" i="8" s="1"/>
  <c r="E37" i="8"/>
  <c r="F37" i="8" s="1"/>
  <c r="G37" i="8" s="1"/>
  <c r="E38" i="8"/>
  <c r="E40" i="8"/>
  <c r="F40" i="8" s="1"/>
  <c r="G40" i="8" s="1"/>
  <c r="E41" i="8"/>
  <c r="E43" i="8"/>
  <c r="F43" i="8" s="1"/>
  <c r="G43" i="8" s="1"/>
  <c r="E44" i="8"/>
  <c r="E46" i="8"/>
  <c r="F46" i="8" s="1"/>
  <c r="G46" i="8" s="1"/>
  <c r="E49" i="8"/>
  <c r="F49" i="8" s="1"/>
  <c r="G49" i="8" s="1"/>
  <c r="E50" i="8"/>
  <c r="F60" i="8"/>
  <c r="D40" i="8"/>
  <c r="F32" i="8" l="1"/>
  <c r="F53" i="8"/>
  <c r="G53" i="8" s="1"/>
  <c r="H51" i="8" s="1"/>
  <c r="F29" i="8"/>
  <c r="G29" i="8" s="1"/>
  <c r="H27" i="8" s="1"/>
  <c r="F50" i="8"/>
  <c r="G50" i="8" s="1"/>
  <c r="H48" i="8" s="1"/>
  <c r="F41" i="8"/>
  <c r="G41" i="8" s="1"/>
  <c r="H39" i="8" s="1"/>
  <c r="F38" i="8"/>
  <c r="G38" i="8" s="1"/>
  <c r="H36" i="8" s="1"/>
  <c r="F23" i="8"/>
  <c r="G23" i="8" s="1"/>
  <c r="H21" i="8" s="1"/>
  <c r="F20" i="8"/>
  <c r="G20" i="8" s="1"/>
  <c r="H18" i="8" s="1"/>
  <c r="F47" i="8"/>
  <c r="G47" i="8" s="1"/>
  <c r="H45" i="8" s="1"/>
  <c r="F26" i="8"/>
  <c r="G26" i="8" s="1"/>
  <c r="H24" i="8" s="1"/>
  <c r="F44" i="8"/>
  <c r="G44" i="8" s="1"/>
  <c r="H42" i="8" s="1"/>
  <c r="F17" i="8"/>
  <c r="G17" i="8" s="1"/>
  <c r="H15" i="8" s="1"/>
  <c r="F11" i="8"/>
  <c r="G11" i="8" s="1"/>
  <c r="G10" i="8"/>
  <c r="G35" i="8"/>
  <c r="H33" i="8" s="1"/>
  <c r="N6" i="11"/>
  <c r="O6" i="11" s="1"/>
  <c r="N5" i="11"/>
  <c r="O5" i="11" s="1"/>
  <c r="G14" i="8"/>
  <c r="H12" i="8" s="1"/>
  <c r="G32" i="8"/>
  <c r="H30" i="8" s="1"/>
  <c r="I56" i="8" l="1"/>
  <c r="H9" i="8"/>
  <c r="A4" i="8" l="1"/>
  <c r="M5" i="8"/>
  <c r="M6" i="8"/>
  <c r="M7" i="8"/>
  <c r="M8" i="8"/>
  <c r="N8" i="8"/>
  <c r="N5" i="8"/>
  <c r="H58" i="8" l="1"/>
  <c r="H57" i="8"/>
  <c r="O5" i="8"/>
  <c r="O8" i="8"/>
  <c r="N7" i="8"/>
  <c r="O7" i="8" s="1"/>
  <c r="N6" i="8"/>
  <c r="O6" i="8" s="1"/>
  <c r="I53" i="8" l="1"/>
  <c r="G57" i="8"/>
  <c r="I57" i="8"/>
  <c r="I58" i="8"/>
  <c r="I59" i="8" l="1"/>
  <c r="G58" i="8"/>
  <c r="E9" i="11" l="1"/>
  <c r="G59" i="8"/>
  <c r="J59" i="8" s="1"/>
  <c r="E10" i="11" l="1"/>
  <c r="E11" i="11" s="1"/>
</calcChain>
</file>

<file path=xl/comments1.xml><?xml version="1.0" encoding="utf-8"?>
<comments xmlns="http://schemas.openxmlformats.org/spreadsheetml/2006/main">
  <authors>
    <author>NGOINHAXANH230</author>
  </authors>
  <commentList>
    <comment ref="H36" authorId="0">
      <text>
        <r>
          <rPr>
            <b/>
            <sz val="9"/>
            <color indexed="81"/>
            <rFont val="Tahoma"/>
            <family val="2"/>
          </rPr>
          <t xml:space="preserve">NGOINHAXANH230:NNHA VE SINH CHUNG DONG HO DIEN,
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NGOINHAXANH230:</t>
        </r>
        <r>
          <rPr>
            <sz val="9"/>
            <color indexed="81"/>
            <rFont val="Tahoma"/>
            <family val="2"/>
          </rPr>
          <t xml:space="preserve">
NVS CHUNG DO HO DIEN
</t>
        </r>
      </text>
    </comment>
  </commentList>
</comments>
</file>

<file path=xl/sharedStrings.xml><?xml version="1.0" encoding="utf-8"?>
<sst xmlns="http://schemas.openxmlformats.org/spreadsheetml/2006/main" count="594" uniqueCount="246">
  <si>
    <r>
      <rPr>
        <b/>
        <sz val="13"/>
        <color indexed="18"/>
        <rFont val="Times New Roman"/>
        <family val="1"/>
      </rPr>
      <t>Đ</t>
    </r>
    <r>
      <rPr>
        <b/>
        <sz val="13"/>
        <color indexed="18"/>
        <rFont val="Times New Roman"/>
        <family val="1"/>
      </rPr>
      <t>ồng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ồ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</si>
  <si>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n</t>
    </r>
    <r>
      <rPr>
        <b/>
        <sz val="13"/>
        <color indexed="18"/>
        <rFont val="Times New Roman"/>
        <family val="1"/>
      </rPr>
      <t>g</t>
    </r>
    <r>
      <rPr>
        <b/>
        <sz val="13"/>
        <color indexed="18"/>
        <rFont val="Times New Roman"/>
        <family val="1"/>
      </rPr>
      <t>ư</t>
    </r>
    <r>
      <rPr>
        <b/>
        <sz val="13"/>
        <color indexed="18"/>
        <rFont val="Times New Roman"/>
        <family val="1"/>
      </rPr>
      <t>ời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</si>
  <si>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c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l</t>
    </r>
    <r>
      <rPr>
        <b/>
        <sz val="13"/>
        <color indexed="18"/>
        <rFont val="Times New Roman"/>
        <family val="1"/>
      </rPr>
      <t>ệch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</si>
  <si>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u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ụ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</si>
  <si>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à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ền</t>
    </r>
  </si>
  <si>
    <t>Điện</t>
  </si>
  <si>
    <t>Nước</t>
  </si>
  <si>
    <t>gia dien</t>
  </si>
  <si>
    <t>gia nuoc</t>
  </si>
  <si>
    <t>Chỉ số
mới</t>
  </si>
  <si>
    <t>Chỉ số
cũ</t>
  </si>
  <si>
    <t>Tổng tiền điện trong tháng:</t>
  </si>
  <si>
    <t>Tổng tiền nước trong tháng</t>
  </si>
  <si>
    <t>Tổng tiền phải thu:</t>
  </si>
  <si>
    <t>PHÒNG TC-HC-QT</t>
  </si>
  <si>
    <t>LẬP BẢNG</t>
  </si>
  <si>
    <t>Tổng thu</t>
  </si>
  <si>
    <t>Đồng hồ</t>
  </si>
  <si>
    <t>Số người</t>
  </si>
  <si>
    <t>Tiêu thụ</t>
  </si>
  <si>
    <t>Thành tiền</t>
  </si>
  <si>
    <t>Đơn giá: Điện: 2.200 đồng/1 Kw</t>
  </si>
  <si>
    <t>Nước nhà tắm</t>
  </si>
  <si>
    <t>Nước Nhà VS</t>
  </si>
  <si>
    <r>
      <t xml:space="preserve">Phòng  </t>
    </r>
    <r>
      <rPr>
        <b/>
        <sz val="13"/>
        <color indexed="18"/>
        <rFont val="Times New Roman"/>
        <family val="1"/>
      </rPr>
      <t xml:space="preserve">K001     </t>
    </r>
    <r>
      <rPr>
        <b/>
        <i/>
        <sz val="13"/>
        <color indexed="18"/>
        <rFont val="Times New Roman"/>
        <family val="1"/>
      </rPr>
      <t>Họ và tên:...............................………………..</t>
    </r>
    <r>
      <rPr>
        <b/>
        <i/>
        <sz val="11"/>
        <color indexed="18"/>
        <rFont val="Times New Roman"/>
        <family val="1"/>
      </rPr>
      <t>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</si>
  <si>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</si>
  <si>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K005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</si>
  <si>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</si>
  <si>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K001-k006</t>
  </si>
  <si>
    <t>chi so moi</t>
  </si>
  <si>
    <t>chenh lệch</t>
  </si>
  <si>
    <t>WC chung</t>
  </si>
  <si>
    <t>k007-k011</t>
  </si>
  <si>
    <t>k101-k106</t>
  </si>
  <si>
    <t>k107-k111</t>
  </si>
  <si>
    <t>k201-k206</t>
  </si>
  <si>
    <t>k207-k211</t>
  </si>
  <si>
    <t xml:space="preserve">TRƯỜNG CAO ĐẲNG BC CÔNG NGHỆ &amp; QTDN </t>
  </si>
  <si>
    <t xml:space="preserve">                                                                             CỘNG HÒA XÃ HỘI CHỦ NGHĨA VIỆT NAM </t>
  </si>
  <si>
    <r>
      <t xml:space="preserve">BAN </t>
    </r>
    <r>
      <rPr>
        <b/>
        <u/>
        <sz val="13"/>
        <rFont val="Times New Roman"/>
        <family val="1"/>
      </rPr>
      <t>QUẢN LÝ KÝ TÚC</t>
    </r>
    <r>
      <rPr>
        <b/>
        <sz val="13"/>
        <rFont val="Times New Roman"/>
        <family val="1"/>
      </rPr>
      <t xml:space="preserve"> XÁ</t>
    </r>
  </si>
  <si>
    <r>
      <t xml:space="preserve">                                       </t>
    </r>
    <r>
      <rPr>
        <u/>
        <sz val="13"/>
        <rFont val="Times New Roman"/>
        <family val="1"/>
      </rPr>
      <t xml:space="preserve">Độc lập - Tự do - Hạnh phúc </t>
    </r>
  </si>
  <si>
    <t xml:space="preserve">BẢNG KÊ SỈ SỐ SINH VIÊN KÝ TÚC XÁ </t>
  </si>
  <si>
    <t xml:space="preserve">PHÒNG </t>
  </si>
  <si>
    <t>S.SỐ</t>
  </si>
  <si>
    <t>C001</t>
  </si>
  <si>
    <t>C101</t>
  </si>
  <si>
    <t>C201</t>
  </si>
  <si>
    <t>K001</t>
  </si>
  <si>
    <t>K101</t>
  </si>
  <si>
    <t>K201</t>
  </si>
  <si>
    <t>N01</t>
  </si>
  <si>
    <t>C002</t>
  </si>
  <si>
    <t>C102</t>
  </si>
  <si>
    <t>C203</t>
  </si>
  <si>
    <t>K002</t>
  </si>
  <si>
    <t>K102</t>
  </si>
  <si>
    <t>K202</t>
  </si>
  <si>
    <t>N02</t>
  </si>
  <si>
    <t>C003</t>
  </si>
  <si>
    <t>C104</t>
  </si>
  <si>
    <t>C204</t>
  </si>
  <si>
    <t>K003</t>
  </si>
  <si>
    <t>K103</t>
  </si>
  <si>
    <t>K203</t>
  </si>
  <si>
    <t>N03</t>
  </si>
  <si>
    <t>C004</t>
  </si>
  <si>
    <t>C105</t>
  </si>
  <si>
    <t>C205</t>
  </si>
  <si>
    <t>K004</t>
  </si>
  <si>
    <t>K104</t>
  </si>
  <si>
    <t>K204</t>
  </si>
  <si>
    <t>N04</t>
  </si>
  <si>
    <t>C005</t>
  </si>
  <si>
    <t>C106</t>
  </si>
  <si>
    <t>C206</t>
  </si>
  <si>
    <t>K005</t>
  </si>
  <si>
    <t>K105</t>
  </si>
  <si>
    <t>K205</t>
  </si>
  <si>
    <t>N05</t>
  </si>
  <si>
    <t>C006</t>
  </si>
  <si>
    <t>C107</t>
  </si>
  <si>
    <t>C207</t>
  </si>
  <si>
    <t>K006</t>
  </si>
  <si>
    <t>K106</t>
  </si>
  <si>
    <t>K206</t>
  </si>
  <si>
    <t>N06</t>
  </si>
  <si>
    <t>C007</t>
  </si>
  <si>
    <t>C108</t>
  </si>
  <si>
    <t>C208</t>
  </si>
  <si>
    <t>K007</t>
  </si>
  <si>
    <t>K107</t>
  </si>
  <si>
    <t>K207</t>
  </si>
  <si>
    <t>C008</t>
  </si>
  <si>
    <t>C109</t>
  </si>
  <si>
    <t>K008</t>
  </si>
  <si>
    <t>K108</t>
  </si>
  <si>
    <t>K208</t>
  </si>
  <si>
    <t>C010</t>
  </si>
  <si>
    <t>C110</t>
  </si>
  <si>
    <t>K009</t>
  </si>
  <si>
    <t>K109</t>
  </si>
  <si>
    <t>K209</t>
  </si>
  <si>
    <t>C011</t>
  </si>
  <si>
    <t>C111</t>
  </si>
  <si>
    <t>K010</t>
  </si>
  <si>
    <t>K110</t>
  </si>
  <si>
    <t>K210</t>
  </si>
  <si>
    <t>C012</t>
  </si>
  <si>
    <t>C112</t>
  </si>
  <si>
    <t>K011</t>
  </si>
  <si>
    <t>K111</t>
  </si>
  <si>
    <t>K211</t>
  </si>
  <si>
    <t>C013</t>
  </si>
  <si>
    <t>C113</t>
  </si>
  <si>
    <t xml:space="preserve">    PHÓ TRƯỞNG BAN </t>
  </si>
  <si>
    <t>tong so người</t>
  </si>
  <si>
    <t>khối lượng/người</t>
  </si>
  <si>
    <t>chi so cu</t>
  </si>
  <si>
    <t>THÁNG</t>
  </si>
  <si>
    <t>DƯƠNG VĂN PHO</t>
  </si>
  <si>
    <t>Số chênh lệch</t>
  </si>
  <si>
    <t>TỔNG CỘNG</t>
  </si>
  <si>
    <t xml:space="preserve">Phòng  C201     Họ và tên:....................................................................... Biên lai:................  .   </t>
  </si>
  <si>
    <t xml:space="preserve">Phòng  C202     Họ và tên:....................................................................... Biên lai:................  .  </t>
  </si>
  <si>
    <t xml:space="preserve">Phòng  C203     Họ và tên:....................................................................... Biên lai:................  .  </t>
  </si>
  <si>
    <t xml:space="preserve">Phòng  C204     Họ và tên:....................................................................... Biên lai:................  </t>
  </si>
  <si>
    <t xml:space="preserve">Phòng  C205     Họ và tên:....................................................................... Biên lai:................  . </t>
  </si>
  <si>
    <t xml:space="preserve">Phòng  C206     Họ và tên:............................................................... …...Biên lai:................  . </t>
  </si>
  <si>
    <t xml:space="preserve">Phòng  C207    Họ và tên:....................................................................... Biên lai:................  . </t>
  </si>
  <si>
    <t xml:space="preserve">Phòng  C208    Họ và tên:....................................................................... Biên lai:................  . </t>
  </si>
  <si>
    <t>Nước: 15.000 đồng/1 Khối</t>
  </si>
  <si>
    <r>
      <t xml:space="preserve">TRƯỜNG CAO ĐẲNG BC CÔNG NGHỆ VÀ QTDN   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</si>
  <si>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 xml:space="preserve">  PHÒNG TỔ CHỨC - HÀNH CHÁNH - QUẢN TRỊ               Độc lập - Tự do - Hạnh phúc</t>
  </si>
  <si>
    <t>C202</t>
  </si>
  <si>
    <r>
      <t xml:space="preserve">TRƯỜNG CAO ĐẲNG BC CÔNG NGHỆ VÀ QTDN     </t>
    </r>
    <r>
      <rPr>
        <b/>
        <sz val="12"/>
        <color indexed="8"/>
        <rFont val="Times New Roman"/>
        <family val="1"/>
      </rPr>
      <t>CỘNG HÒA XÃ HỘI CHỦ NGHĨA VIỆT NAM</t>
    </r>
  </si>
  <si>
    <t>PHÒNG TỔ CHỨC - HÀNH CHÁNH - QUẢN TRỊ                     Độc lập - Tự do - Hạnh phúc</t>
  </si>
  <si>
    <t>C103</t>
  </si>
  <si>
    <t>C209</t>
  </si>
  <si>
    <t xml:space="preserve">Phòng  C112     Họ và tên:....................................................................... Biên lai:................  </t>
  </si>
  <si>
    <t xml:space="preserve">Phòng  C113     Họ và tên:....................................................................... Biên lai:................  </t>
  </si>
  <si>
    <t xml:space="preserve">Phòng  C108   Họ và tên:....................................................................... Biên lai:................  . </t>
  </si>
  <si>
    <t xml:space="preserve">Phòng  C109    Họ và tên:....................................................................... Biên lai:................  </t>
  </si>
  <si>
    <t xml:space="preserve">Phòng  C110   Họ và tên:....................................................................... Biên lai:................  . </t>
  </si>
  <si>
    <t xml:space="preserve">Phòng  C111    Họ và tên:....................................................................... Biên lai:................  </t>
  </si>
  <si>
    <t>NGUYỄN NGỌC MAI</t>
  </si>
  <si>
    <t>STT</t>
  </si>
  <si>
    <t>KHU VỰC</t>
  </si>
  <si>
    <t>TỔNG TIỀN ĐIỆN</t>
  </si>
  <si>
    <t>TỔNG TIỀN NƯỚC</t>
  </si>
  <si>
    <t>KHU C</t>
  </si>
  <si>
    <t>KHU K</t>
  </si>
  <si>
    <t xml:space="preserve">  PHÒNG TỔ CHỨC - HÀNH CHÁNH - QUẢN TRỊ              Độc lập - Tự do - Hạnh phúc</t>
  </si>
  <si>
    <r>
      <t xml:space="preserve">TRƯỜNG CAO ĐẲNG BC CÔNG NGHỆ VÀ QTDN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</si>
  <si>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 xml:space="preserve">Phòng  C209    Họ và tên:....................................................................... Biên lai:................  . </t>
  </si>
  <si>
    <t>CÁC PHÒNG TỪ C108 ĐẾN C214</t>
  </si>
  <si>
    <t>C212</t>
  </si>
  <si>
    <t xml:space="preserve">Phòng  N006    Họ và tên:....................................................................... Biên lai:................  . </t>
  </si>
  <si>
    <t>N006</t>
  </si>
  <si>
    <t xml:space="preserve">Phòng  C001     Họ và tên:............................................... Biên lai:................ </t>
  </si>
  <si>
    <t xml:space="preserve">Phòng  C002     Họ và tên:............................................... Biên lai:................ </t>
  </si>
  <si>
    <t xml:space="preserve">Phòng  C003     Họ và tên:............................................... Biên lai:................  </t>
  </si>
  <si>
    <t xml:space="preserve">Phòng  C004     Họ và tên:............................................... Biên lai:................  . </t>
  </si>
  <si>
    <t>Phòng  C005     Họ và tên:............................................... Biên lai:................  .</t>
  </si>
  <si>
    <t xml:space="preserve">Phòng  C006     Họ và tên:............................................... Biên lai:................  . </t>
  </si>
  <si>
    <t xml:space="preserve">Phòng  C007     Họ và tên:............................................... Biên lai:................  </t>
  </si>
  <si>
    <t xml:space="preserve">Phòng  C008     Họ và tên:............................................... Biên lai:................  </t>
  </si>
  <si>
    <t xml:space="preserve">Phòng  C010     Họ và tên:............................................... Biên lai:................  .  </t>
  </si>
  <si>
    <t xml:space="preserve">Phòng  C011     Họ và tên:............................................... Biên lai:................  </t>
  </si>
  <si>
    <t xml:space="preserve">Phòng  C012     Họ và tên:............................................... Biên lai:................  </t>
  </si>
  <si>
    <t xml:space="preserve">Phòng  C013     Họ và tên:............................................... Biên lai:................  </t>
  </si>
  <si>
    <t xml:space="preserve">Phòng  C101     Họ và tên:............................................... Biên lai:................ </t>
  </si>
  <si>
    <t xml:space="preserve">Phòng  C102     Họ và tên:............................................... Biên lai:................ </t>
  </si>
  <si>
    <t xml:space="preserve">Phòng  C103     Họ và tên:............................................... Biên lai:................  </t>
  </si>
  <si>
    <t xml:space="preserve">Phòng  C104     Họ và tên:............................................... Biên lai:................  . </t>
  </si>
  <si>
    <t>Phòng  C105     Họ và tên:............................................... Biên lai:................  .</t>
  </si>
  <si>
    <t xml:space="preserve">Phòng  C106     Họ và tên:............................................... Biên lai:................  . </t>
  </si>
  <si>
    <t xml:space="preserve">Phòng  C107     Họ và tên:............................................... Biên lai:................  </t>
  </si>
  <si>
    <t xml:space="preserve">Phòng  C108   Họ và tên:............................................... Biên lai:................  . </t>
  </si>
  <si>
    <t xml:space="preserve">Phòng  C109    Họ và tên:............................................... Biên lai:................  </t>
  </si>
  <si>
    <t xml:space="preserve">Phòng  C110   Họ và tên:............................................... Biên lai:................  . </t>
  </si>
  <si>
    <t xml:space="preserve">Phòng  C111    Họ và tên:............................................... Biên lai:................  </t>
  </si>
  <si>
    <t xml:space="preserve">Phòng  C112     Họ và tên:............................................... Biên lai:................  </t>
  </si>
  <si>
    <t xml:space="preserve">Phòng  C113     Họ và tên:............................................... Biên lai:................  </t>
  </si>
  <si>
    <t xml:space="preserve">Phòng  C201     Họ và tên:............................................... Biên lai:................  .   </t>
  </si>
  <si>
    <t xml:space="preserve">Phòng  C202     Họ và tên:............................................... Biên lai:................  .  </t>
  </si>
  <si>
    <t xml:space="preserve">Phòng  C203     Họ và tên:............................................... Biên lai:................  .  </t>
  </si>
  <si>
    <t xml:space="preserve">Phòng  C204     Họ và tên:............................................... Biên lai:................  </t>
  </si>
  <si>
    <t xml:space="preserve">Phòng  C205     Họ và tên:............................................... Biên lai:................  . </t>
  </si>
  <si>
    <t xml:space="preserve">Phòng  C206     Họ và tên:............................Biên lai:................  . </t>
  </si>
  <si>
    <t xml:space="preserve">Phòng  C207    Họ và tên:............................................... Biên lai:................  . </t>
  </si>
  <si>
    <t xml:space="preserve">Phòng  C208    Họ và tên:............................................... Biên lai:................  . </t>
  </si>
  <si>
    <t xml:space="preserve">Phòng  C209    Họ và tên:............................................... Biên lai:................  . </t>
  </si>
  <si>
    <t>C210</t>
  </si>
  <si>
    <t>C211</t>
  </si>
  <si>
    <t>C213</t>
  </si>
  <si>
    <t>C114</t>
  </si>
  <si>
    <t>C214</t>
  </si>
  <si>
    <t xml:space="preserve">Phòng  C114     Họ và tên:............................................... Biên lai:................  </t>
  </si>
  <si>
    <t xml:space="preserve">Phòng  C210    Họ và tên:............................................... Biên lai:................  . </t>
  </si>
  <si>
    <t xml:space="preserve">Phòng  C211    Họ và tên:............................................... Biên lai:................  . </t>
  </si>
  <si>
    <t xml:space="preserve">Phòng  C212    Họ và tên:............................................... Biên lai:................  . </t>
  </si>
  <si>
    <t xml:space="preserve">Phòng  C213    Họ và tên:............................................... Biên lai:................  . </t>
  </si>
  <si>
    <t xml:space="preserve">Phòng  C214    Họ và tên:............................................... Biên lai:................  . </t>
  </si>
  <si>
    <t xml:space="preserve">Phòng  N008    Họ và tên:............................................... Biên lai:................  . </t>
  </si>
  <si>
    <t>N008</t>
  </si>
  <si>
    <r>
      <t xml:space="preserve">Phòng  </t>
    </r>
    <r>
      <rPr>
        <b/>
        <sz val="13"/>
        <color indexed="18"/>
        <rFont val="Times New Roman"/>
        <family val="1"/>
      </rPr>
      <t xml:space="preserve">K003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</si>
  <si>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</si>
  <si>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</si>
  <si>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</si>
  <si>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</si>
  <si>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</si>
  <si>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</si>
  <si>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</si>
  <si>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</si>
  <si>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</si>
  <si>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</si>
  <si>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</si>
  <si>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</si>
  <si>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</si>
  <si>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</si>
  <si>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</si>
  <si>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</si>
  <si>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</si>
  <si>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</si>
  <si>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</si>
  <si>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</si>
  <si>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</si>
  <si>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</si>
  <si>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</si>
  <si>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</si>
  <si>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</si>
  <si>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</si>
  <si>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</si>
  <si>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</si>
  <si>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Đơn giá: Điện: 2.900 đồng/1 Kw</t>
  </si>
  <si>
    <t>Nước: 18.000 đồng/1 Khối</t>
  </si>
  <si>
    <t>ĐẶNG CÔNG TRUNG</t>
  </si>
  <si>
    <t>K001-k003;k009-k011</t>
  </si>
  <si>
    <t>k004-k008</t>
  </si>
  <si>
    <t>k101-k103:k109-k111</t>
  </si>
  <si>
    <t>k104-k108</t>
  </si>
  <si>
    <t>Thành phố Hồ Chí Minh, ngày 13 tháng 11 năm 2017</t>
  </si>
  <si>
    <t>THÁNG: 01/2021</t>
  </si>
  <si>
    <t>THÁNG 02&amp;03/2021</t>
  </si>
  <si>
    <t>BẢNG TỔNG HỢP ĐIỆN - NƯỚC SINH HOẠT KÝ TÚC XÁ KHU C THÁNG 04/2021</t>
  </si>
  <si>
    <t>BẢNG TỔNG HỢP ĐIỆN - NƯỚC SINH HOẠT KÝ TÚC XÁ KHU K THÁNG 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</si>
</sst>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m/yyyy"/>
    <numFmt numFmtId="166" formatCode="_(* #,##0.00000_);_(* \(#,##0.00000\);_(* &quot;-&quot;??_);_(@_)"/>
  </numFmts>
  <fonts count="3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18"/>
      <name val="Times New Roman"/>
      <family val="1"/>
    </font>
    <font>
      <b/>
      <i/>
      <sz val="13"/>
      <color indexed="18"/>
      <name val="Times New Roman"/>
      <family val="1"/>
    </font>
    <font>
      <b/>
      <i/>
      <sz val="11"/>
      <color indexed="18"/>
      <name val="Times New Roman"/>
      <family val="1"/>
    </font>
    <font>
      <sz val="13"/>
      <color indexed="8"/>
      <name val="Times New Roman"/>
      <family val="1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name val="Times New Roman"/>
      <family val="1"/>
    </font>
    <font>
      <b/>
      <sz val="13"/>
      <name val="Times New Roman"/>
      <family val="1"/>
    </font>
    <font>
      <b/>
      <sz val="9"/>
      <color indexed="81"/>
      <name val="Tahoma"/>
      <family val="2"/>
    </font>
    <font>
      <b/>
      <u/>
      <sz val="13"/>
      <name val="Times New Roman"/>
      <family val="1"/>
    </font>
    <font>
      <u/>
      <sz val="13"/>
      <name val="Times New Roman"/>
      <family val="1"/>
    </font>
    <font>
      <b/>
      <sz val="15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sz val="9"/>
      <color indexed="81"/>
      <name val="Tahoma"/>
      <family val="2"/>
    </font>
    <font>
      <i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1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/>
      <bottom/>
      <diagonal/>
    </border>
  </borders>
  <cellStyleXfs count="16">
    <xf numFmtId="0" fontId="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1" fontId="10" fillId="0" borderId="0" xfId="1" applyNumberFormat="1" applyFont="1" applyAlignment="1">
      <alignment horizontal="right" vertical="top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2" fontId="9" fillId="0" borderId="2" xfId="0" applyNumberFormat="1" applyFont="1" applyBorder="1" applyAlignment="1">
      <alignment horizontal="right" vertical="top" wrapText="1"/>
    </xf>
    <xf numFmtId="2" fontId="0" fillId="0" borderId="0" xfId="0" applyNumberForma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" fontId="6" fillId="0" borderId="2" xfId="1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164" fontId="10" fillId="0" borderId="0" xfId="1" applyNumberFormat="1"/>
    <xf numFmtId="164" fontId="10" fillId="0" borderId="0" xfId="1" applyNumberFormat="1" applyAlignment="1"/>
    <xf numFmtId="0" fontId="15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2" fontId="9" fillId="0" borderId="2" xfId="0" applyNumberFormat="1" applyFont="1" applyFill="1" applyBorder="1" applyAlignment="1">
      <alignment horizontal="right" vertical="top"/>
    </xf>
    <xf numFmtId="0" fontId="0" fillId="0" borderId="0" xfId="0" applyFill="1"/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 wrapText="1"/>
    </xf>
    <xf numFmtId="2" fontId="9" fillId="0" borderId="2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center" vertical="top" wrapText="1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1" applyNumberFormat="1" applyFont="1"/>
    <xf numFmtId="0" fontId="15" fillId="0" borderId="0" xfId="0" applyFont="1" applyAlignment="1"/>
    <xf numFmtId="0" fontId="19" fillId="0" borderId="0" xfId="0" applyFont="1" applyAlignment="1">
      <alignment horizontal="center"/>
    </xf>
    <xf numFmtId="164" fontId="15" fillId="0" borderId="0" xfId="1" applyNumberFormat="1" applyFont="1" applyAlignment="1">
      <alignment horizontal="center"/>
    </xf>
    <xf numFmtId="164" fontId="14" fillId="0" borderId="0" xfId="1" applyNumberFormat="1" applyFont="1" applyAlignment="1">
      <alignment horizontal="center"/>
    </xf>
    <xf numFmtId="1" fontId="0" fillId="0" borderId="0" xfId="0" applyNumberFormat="1"/>
    <xf numFmtId="164" fontId="20" fillId="0" borderId="2" xfId="1" applyNumberFormat="1" applyFont="1" applyBorder="1" applyAlignment="1">
      <alignment horizontal="right"/>
    </xf>
    <xf numFmtId="164" fontId="21" fillId="0" borderId="2" xfId="1" applyNumberFormat="1" applyFont="1" applyBorder="1"/>
    <xf numFmtId="0" fontId="22" fillId="0" borderId="0" xfId="0" applyFont="1"/>
    <xf numFmtId="1" fontId="21" fillId="0" borderId="0" xfId="1" applyNumberFormat="1" applyFont="1" applyAlignment="1">
      <alignment horizontal="right" vertical="top"/>
    </xf>
    <xf numFmtId="0" fontId="22" fillId="0" borderId="0" xfId="0" applyFont="1" applyAlignment="1">
      <alignment horizontal="right"/>
    </xf>
    <xf numFmtId="2" fontId="22" fillId="0" borderId="0" xfId="0" applyNumberFormat="1" applyFont="1" applyAlignment="1">
      <alignment horizontal="right"/>
    </xf>
    <xf numFmtId="164" fontId="21" fillId="0" borderId="0" xfId="1" applyNumberFormat="1" applyFont="1" applyAlignment="1">
      <alignment horizontal="right"/>
    </xf>
    <xf numFmtId="164" fontId="21" fillId="0" borderId="0" xfId="1" applyNumberFormat="1" applyFont="1"/>
    <xf numFmtId="22" fontId="22" fillId="0" borderId="0" xfId="0" applyNumberFormat="1" applyFont="1" applyAlignment="1">
      <alignment horizontal="right"/>
    </xf>
    <xf numFmtId="43" fontId="20" fillId="0" borderId="2" xfId="1" applyFont="1" applyBorder="1" applyAlignment="1">
      <alignment horizontal="right"/>
    </xf>
    <xf numFmtId="43" fontId="10" fillId="0" borderId="0" xfId="1" applyNumberFormat="1"/>
    <xf numFmtId="166" fontId="10" fillId="0" borderId="0" xfId="1" applyNumberFormat="1"/>
    <xf numFmtId="43" fontId="0" fillId="0" borderId="0" xfId="0" applyNumberFormat="1"/>
    <xf numFmtId="0" fontId="11" fillId="0" borderId="0" xfId="0" applyFont="1" applyAlignment="1"/>
    <xf numFmtId="164" fontId="9" fillId="0" borderId="2" xfId="1" applyNumberFormat="1" applyFont="1" applyBorder="1" applyAlignment="1">
      <alignment horizontal="left" vertical="top" wrapText="1"/>
    </xf>
    <xf numFmtId="164" fontId="9" fillId="0" borderId="2" xfId="1" applyNumberFormat="1" applyFont="1" applyBorder="1" applyAlignment="1">
      <alignment horizontal="left" vertical="top"/>
    </xf>
    <xf numFmtId="164" fontId="9" fillId="0" borderId="6" xfId="1" applyNumberFormat="1" applyFont="1" applyBorder="1" applyAlignment="1">
      <alignment horizontal="left" vertical="top" wrapText="1"/>
    </xf>
    <xf numFmtId="164" fontId="9" fillId="0" borderId="6" xfId="1" applyNumberFormat="1" applyFont="1" applyBorder="1" applyAlignment="1">
      <alignment horizontal="left" vertical="top"/>
    </xf>
    <xf numFmtId="1" fontId="22" fillId="0" borderId="0" xfId="0" applyNumberFormat="1" applyFont="1"/>
    <xf numFmtId="0" fontId="25" fillId="0" borderId="0" xfId="0" applyFont="1" applyAlignment="1"/>
    <xf numFmtId="164" fontId="21" fillId="0" borderId="8" xfId="1" applyNumberFormat="1" applyFont="1" applyBorder="1" applyAlignment="1">
      <alignment horizontal="left" vertical="top"/>
    </xf>
    <xf numFmtId="164" fontId="21" fillId="0" borderId="9" xfId="1" applyNumberFormat="1" applyFont="1" applyBorder="1" applyAlignment="1">
      <alignment horizontal="left" vertical="top"/>
    </xf>
    <xf numFmtId="164" fontId="21" fillId="0" borderId="5" xfId="1" applyNumberFormat="1" applyFont="1" applyBorder="1" applyAlignment="1">
      <alignment horizontal="left" vertical="top"/>
    </xf>
    <xf numFmtId="164" fontId="21" fillId="0" borderId="10" xfId="1" applyNumberFormat="1" applyFont="1" applyBorder="1" applyAlignment="1">
      <alignment horizontal="left" vertical="top"/>
    </xf>
    <xf numFmtId="164" fontId="21" fillId="0" borderId="11" xfId="1" applyNumberFormat="1" applyFont="1" applyBorder="1" applyAlignment="1">
      <alignment horizontal="left" vertical="top"/>
    </xf>
    <xf numFmtId="0" fontId="22" fillId="0" borderId="0" xfId="0" applyFont="1" applyAlignment="1"/>
    <xf numFmtId="164" fontId="22" fillId="0" borderId="0" xfId="0" applyNumberFormat="1" applyFont="1"/>
    <xf numFmtId="0" fontId="27" fillId="0" borderId="0" xfId="0" applyFont="1" applyAlignment="1"/>
    <xf numFmtId="0" fontId="25" fillId="0" borderId="0" xfId="0" applyFont="1" applyAlignment="1">
      <alignment horizontal="left"/>
    </xf>
    <xf numFmtId="0" fontId="7" fillId="0" borderId="1" xfId="0" applyFont="1" applyBorder="1" applyAlignment="1"/>
    <xf numFmtId="164" fontId="7" fillId="0" borderId="1" xfId="1" applyNumberFormat="1" applyFont="1" applyBorder="1" applyAlignment="1">
      <alignment wrapText="1"/>
    </xf>
    <xf numFmtId="0" fontId="6" fillId="0" borderId="4" xfId="0" applyFont="1" applyBorder="1" applyAlignment="1">
      <alignment horizontal="center" vertical="top" wrapText="1"/>
    </xf>
    <xf numFmtId="164" fontId="9" fillId="0" borderId="6" xfId="1" applyNumberFormat="1" applyFont="1" applyFill="1" applyBorder="1" applyAlignment="1">
      <alignment horizontal="right" vertical="top"/>
    </xf>
    <xf numFmtId="164" fontId="9" fillId="0" borderId="6" xfId="1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2" fontId="7" fillId="0" borderId="1" xfId="0" applyNumberFormat="1" applyFont="1" applyBorder="1" applyAlignment="1">
      <alignment wrapText="1"/>
    </xf>
    <xf numFmtId="164" fontId="21" fillId="0" borderId="0" xfId="1" applyNumberFormat="1" applyFont="1" applyAlignment="1"/>
    <xf numFmtId="0" fontId="22" fillId="0" borderId="0" xfId="0" applyFont="1" applyAlignment="1">
      <alignment horizontal="center"/>
    </xf>
    <xf numFmtId="2" fontId="9" fillId="2" borderId="2" xfId="0" applyNumberFormat="1" applyFont="1" applyFill="1" applyBorder="1" applyAlignment="1">
      <alignment horizontal="right" vertical="top"/>
    </xf>
    <xf numFmtId="164" fontId="9" fillId="0" borderId="2" xfId="1" applyNumberFormat="1" applyFont="1" applyFill="1" applyBorder="1" applyAlignment="1">
      <alignment horizontal="left" vertical="top" wrapText="1"/>
    </xf>
    <xf numFmtId="164" fontId="21" fillId="0" borderId="8" xfId="1" applyNumberFormat="1" applyFont="1" applyFill="1" applyBorder="1" applyAlignment="1">
      <alignment horizontal="left" vertical="top"/>
    </xf>
    <xf numFmtId="164" fontId="21" fillId="0" borderId="0" xfId="1" applyNumberFormat="1" applyFont="1" applyFill="1"/>
    <xf numFmtId="0" fontId="22" fillId="0" borderId="0" xfId="0" applyFont="1" applyFill="1" applyAlignment="1"/>
    <xf numFmtId="0" fontId="22" fillId="0" borderId="0" xfId="0" applyFont="1" applyFill="1"/>
    <xf numFmtId="164" fontId="9" fillId="0" borderId="2" xfId="1" applyNumberFormat="1" applyFont="1" applyFill="1" applyBorder="1" applyAlignment="1">
      <alignment horizontal="left" vertical="top"/>
    </xf>
    <xf numFmtId="164" fontId="21" fillId="0" borderId="9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164" fontId="21" fillId="0" borderId="0" xfId="1" applyNumberFormat="1" applyFont="1" applyFill="1" applyAlignment="1"/>
    <xf numFmtId="0" fontId="0" fillId="0" borderId="0" xfId="0" applyFill="1" applyAlignment="1"/>
    <xf numFmtId="164" fontId="21" fillId="0" borderId="5" xfId="1" applyNumberFormat="1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right" vertical="top"/>
    </xf>
    <xf numFmtId="164" fontId="9" fillId="0" borderId="4" xfId="1" applyNumberFormat="1" applyFont="1" applyFill="1" applyBorder="1" applyAlignment="1">
      <alignment horizontal="left" vertical="top"/>
    </xf>
    <xf numFmtId="0" fontId="26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22" fillId="0" borderId="0" xfId="0" applyFont="1" applyAlignment="1">
      <alignment horizontal="center" vertical="center"/>
    </xf>
    <xf numFmtId="0" fontId="22" fillId="0" borderId="2" xfId="0" applyFont="1" applyBorder="1"/>
    <xf numFmtId="164" fontId="22" fillId="0" borderId="2" xfId="1" applyNumberFormat="1" applyFont="1" applyBorder="1"/>
    <xf numFmtId="164" fontId="29" fillId="0" borderId="2" xfId="0" applyNumberFormat="1" applyFont="1" applyBorder="1"/>
    <xf numFmtId="0" fontId="30" fillId="0" borderId="0" xfId="0" applyFont="1"/>
    <xf numFmtId="0" fontId="14" fillId="0" borderId="2" xfId="0" applyFont="1" applyFill="1" applyBorder="1" applyAlignment="1">
      <alignment horizontal="left" vertical="top"/>
    </xf>
    <xf numFmtId="164" fontId="21" fillId="0" borderId="11" xfId="1" applyNumberFormat="1" applyFont="1" applyFill="1" applyBorder="1" applyAlignment="1">
      <alignment horizontal="left" vertical="top"/>
    </xf>
    <xf numFmtId="0" fontId="22" fillId="0" borderId="17" xfId="0" applyFont="1" applyFill="1" applyBorder="1"/>
    <xf numFmtId="0" fontId="0" fillId="0" borderId="17" xfId="0" applyFill="1" applyBorder="1"/>
    <xf numFmtId="164" fontId="21" fillId="0" borderId="17" xfId="1" applyNumberFormat="1" applyFont="1" applyFill="1" applyBorder="1"/>
    <xf numFmtId="0" fontId="0" fillId="0" borderId="0" xfId="0"/>
    <xf numFmtId="0" fontId="0" fillId="0" borderId="0" xfId="0" applyAlignment="1"/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22" fillId="0" borderId="0" xfId="0" applyFont="1"/>
    <xf numFmtId="164" fontId="21" fillId="0" borderId="0" xfId="1" applyNumberFormat="1" applyFont="1"/>
    <xf numFmtId="0" fontId="22" fillId="0" borderId="0" xfId="0" applyFont="1" applyAlignment="1"/>
    <xf numFmtId="164" fontId="22" fillId="0" borderId="0" xfId="0" applyNumberFormat="1" applyFont="1"/>
    <xf numFmtId="0" fontId="7" fillId="0" borderId="1" xfId="0" applyFont="1" applyBorder="1" applyAlignment="1">
      <alignment wrapText="1"/>
    </xf>
    <xf numFmtId="164" fontId="21" fillId="0" borderId="0" xfId="1" applyNumberFormat="1" applyFont="1" applyAlignment="1"/>
    <xf numFmtId="164" fontId="9" fillId="0" borderId="2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164" fontId="9" fillId="0" borderId="6" xfId="1" applyNumberFormat="1" applyFont="1" applyFill="1" applyBorder="1" applyAlignment="1">
      <alignment horizontal="left" vertical="top" wrapText="1"/>
    </xf>
    <xf numFmtId="164" fontId="9" fillId="0" borderId="6" xfId="1" applyNumberFormat="1" applyFont="1" applyFill="1" applyBorder="1" applyAlignment="1">
      <alignment horizontal="left" vertical="top"/>
    </xf>
    <xf numFmtId="164" fontId="7" fillId="0" borderId="4" xfId="1" applyNumberFormat="1" applyFont="1" applyFill="1" applyBorder="1" applyAlignment="1">
      <alignment wrapText="1"/>
    </xf>
    <xf numFmtId="2" fontId="22" fillId="0" borderId="0" xfId="0" applyNumberFormat="1" applyFont="1" applyFill="1" applyAlignment="1">
      <alignment horizontal="right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/>
    <xf numFmtId="164" fontId="7" fillId="0" borderId="3" xfId="1" applyNumberFormat="1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vertical="top"/>
    </xf>
    <xf numFmtId="164" fontId="21" fillId="0" borderId="10" xfId="1" applyNumberFormat="1" applyFont="1" applyFill="1" applyBorder="1" applyAlignment="1">
      <alignment horizontal="left" vertical="top"/>
    </xf>
    <xf numFmtId="164" fontId="7" fillId="0" borderId="1" xfId="1" applyNumberFormat="1" applyFont="1" applyFill="1" applyBorder="1" applyAlignment="1"/>
    <xf numFmtId="0" fontId="31" fillId="0" borderId="2" xfId="0" applyFont="1" applyBorder="1" applyAlignment="1">
      <alignment horizontal="center"/>
    </xf>
    <xf numFmtId="164" fontId="32" fillId="4" borderId="0" xfId="1" applyNumberFormat="1" applyFont="1" applyFill="1"/>
    <xf numFmtId="0" fontId="32" fillId="0" borderId="0" xfId="0" applyFont="1"/>
    <xf numFmtId="164" fontId="0" fillId="0" borderId="0" xfId="0" applyNumberFormat="1" applyAlignment="1">
      <alignment horizontal="right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/>
    <xf numFmtId="0" fontId="14" fillId="0" borderId="2" xfId="14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/>
    </xf>
    <xf numFmtId="43" fontId="22" fillId="0" borderId="0" xfId="0" applyNumberFormat="1" applyFont="1"/>
    <xf numFmtId="2" fontId="9" fillId="3" borderId="2" xfId="0" applyNumberFormat="1" applyFont="1" applyFill="1" applyBorder="1" applyAlignment="1">
      <alignment horizontal="right" vertical="top"/>
    </xf>
    <xf numFmtId="0" fontId="0" fillId="4" borderId="0" xfId="0" applyFill="1" applyAlignment="1"/>
    <xf numFmtId="164" fontId="22" fillId="0" borderId="17" xfId="0" applyNumberFormat="1" applyFont="1" applyFill="1" applyBorder="1"/>
    <xf numFmtId="0" fontId="14" fillId="3" borderId="2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7" fillId="0" borderId="22" xfId="1" applyNumberFormat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164" fontId="7" fillId="0" borderId="25" xfId="1" applyNumberFormat="1" applyFont="1" applyBorder="1" applyAlignment="1">
      <alignment horizontal="center" vertical="center" wrapText="1"/>
    </xf>
    <xf numFmtId="164" fontId="7" fillId="0" borderId="26" xfId="1" applyNumberFormat="1" applyFont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164" fontId="7" fillId="3" borderId="22" xfId="1" applyNumberFormat="1" applyFont="1" applyFill="1" applyBorder="1" applyAlignment="1">
      <alignment horizontal="center" vertical="center" wrapText="1"/>
    </xf>
    <xf numFmtId="164" fontId="7" fillId="3" borderId="8" xfId="1" applyNumberFormat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" fontId="9" fillId="3" borderId="2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 vertical="top"/>
    </xf>
    <xf numFmtId="2" fontId="20" fillId="0" borderId="6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2" fontId="20" fillId="0" borderId="12" xfId="0" applyNumberFormat="1" applyFont="1" applyBorder="1" applyAlignment="1">
      <alignment horizontal="center"/>
    </xf>
    <xf numFmtId="164" fontId="23" fillId="0" borderId="18" xfId="1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 wrapText="1"/>
    </xf>
    <xf numFmtId="164" fontId="7" fillId="3" borderId="23" xfId="1" applyNumberFormat="1" applyFont="1" applyFill="1" applyBorder="1" applyAlignment="1">
      <alignment horizontal="center" vertical="center" wrapText="1"/>
    </xf>
    <xf numFmtId="164" fontId="7" fillId="3" borderId="13" xfId="1" applyNumberFormat="1" applyFont="1" applyFill="1" applyBorder="1" applyAlignment="1">
      <alignment horizontal="center" vertical="center" wrapText="1"/>
    </xf>
    <xf numFmtId="164" fontId="7" fillId="3" borderId="24" xfId="1" applyNumberFormat="1" applyFont="1" applyFill="1" applyBorder="1" applyAlignment="1">
      <alignment horizontal="center" vertical="center" wrapText="1"/>
    </xf>
    <xf numFmtId="1" fontId="9" fillId="3" borderId="4" xfId="1" applyNumberFormat="1" applyFont="1" applyFill="1" applyBorder="1" applyAlignment="1">
      <alignment horizontal="center" vertical="top" wrapText="1"/>
    </xf>
    <xf numFmtId="1" fontId="9" fillId="3" borderId="10" xfId="1" applyNumberFormat="1" applyFont="1" applyFill="1" applyBorder="1" applyAlignment="1">
      <alignment horizontal="center" vertical="top" wrapText="1"/>
    </xf>
    <xf numFmtId="1" fontId="9" fillId="3" borderId="11" xfId="1" applyNumberFormat="1" applyFont="1" applyFill="1" applyBorder="1" applyAlignment="1">
      <alignment horizontal="center" vertical="top" wrapText="1"/>
    </xf>
    <xf numFmtId="1" fontId="9" fillId="0" borderId="4" xfId="1" applyNumberFormat="1" applyFont="1" applyFill="1" applyBorder="1" applyAlignment="1">
      <alignment horizontal="center" vertical="top" wrapText="1"/>
    </xf>
    <xf numFmtId="1" fontId="9" fillId="0" borderId="10" xfId="1" applyNumberFormat="1" applyFont="1" applyFill="1" applyBorder="1" applyAlignment="1">
      <alignment horizontal="center" vertical="top" wrapText="1"/>
    </xf>
    <xf numFmtId="1" fontId="9" fillId="0" borderId="11" xfId="1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2" xfId="0" applyFont="1" applyBorder="1" applyAlignment="1">
      <alignment horizontal="center"/>
    </xf>
  </cellXfs>
  <cellStyles count="16">
    <cellStyle name="Comma" xfId="1" builtinId="3"/>
    <cellStyle name="Comma 2" xfId="3"/>
    <cellStyle name="Comma 2 2" xfId="9"/>
    <cellStyle name="Comma 3" xfId="5"/>
    <cellStyle name="Comma 3 2" xfId="11"/>
    <cellStyle name="Comma 4" xfId="7"/>
    <cellStyle name="Comma 5" xfId="13"/>
    <cellStyle name="Comma 6" xfId="15"/>
    <cellStyle name="Normal" xfId="0" builtinId="0"/>
    <cellStyle name="Normal 2" xfId="2"/>
    <cellStyle name="Normal 2 2" xfId="8"/>
    <cellStyle name="Normal 3" xfId="4"/>
    <cellStyle name="Normal 3 2" xfId="10"/>
    <cellStyle name="Normal 4" xfId="6"/>
    <cellStyle name="Normal 5" xfId="12"/>
    <cellStyle name="Normal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4476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4476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219450" y="4381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85" zoomScaleNormal="85" workbookViewId="0">
      <selection activeCell="F23" sqref="F23"/>
    </sheetView>
  </sheetViews>
  <sheetFormatPr defaultColWidth="9.140625" defaultRowHeight="16.5" x14ac:dyDescent="0.25"/>
  <cols>
    <col min="1" max="1" width="8.42578125" style="29" customWidth="1"/>
    <col min="2" max="2" width="6.85546875" style="148" customWidth="1"/>
    <col min="3" max="3" width="9.5703125" style="29" customWidth="1"/>
    <col min="4" max="4" width="6.85546875" style="148" customWidth="1"/>
    <col min="5" max="5" width="10.140625" style="29" customWidth="1"/>
    <col min="6" max="6" width="8.7109375" style="148" customWidth="1"/>
    <col min="7" max="7" width="9.42578125" style="29" customWidth="1"/>
    <col min="8" max="8" width="7.5703125" style="148" customWidth="1"/>
    <col min="9" max="9" width="9.5703125" style="29" customWidth="1"/>
    <col min="10" max="10" width="6.7109375" style="29" customWidth="1"/>
    <col min="11" max="11" width="10.5703125" style="29" customWidth="1"/>
    <col min="12" max="12" width="9.5703125" style="29" customWidth="1"/>
    <col min="13" max="13" width="10.140625" style="29" customWidth="1"/>
    <col min="14" max="14" width="8.42578125" style="29" customWidth="1"/>
    <col min="15" max="15" width="7.42578125" style="30" customWidth="1"/>
    <col min="16" max="16" width="8.85546875" style="31" customWidth="1"/>
    <col min="17" max="17" width="13.5703125" style="30" customWidth="1"/>
    <col min="18" max="18" width="14.42578125" style="30" customWidth="1"/>
    <col min="19" max="19" width="14.42578125" style="31" customWidth="1"/>
    <col min="20" max="16384" width="9.140625" style="30"/>
  </cols>
  <sheetData>
    <row r="1" spans="1:29" x14ac:dyDescent="0.25">
      <c r="A1" s="28" t="s">
        <v>37</v>
      </c>
      <c r="C1" s="28"/>
      <c r="E1" s="28"/>
      <c r="G1" s="29" t="s">
        <v>38</v>
      </c>
    </row>
    <row r="2" spans="1:29" x14ac:dyDescent="0.25">
      <c r="B2" s="146" t="s">
        <v>39</v>
      </c>
      <c r="C2" s="32"/>
      <c r="D2" s="146"/>
      <c r="H2" s="148" t="s">
        <v>40</v>
      </c>
    </row>
    <row r="3" spans="1:29" x14ac:dyDescent="0.25">
      <c r="B3" s="146"/>
      <c r="C3" s="32"/>
      <c r="D3" s="146"/>
    </row>
    <row r="4" spans="1:29" ht="19.5" x14ac:dyDescent="0.3">
      <c r="E4" s="33"/>
      <c r="F4" s="147"/>
      <c r="G4" s="33"/>
      <c r="H4" s="147" t="s">
        <v>41</v>
      </c>
      <c r="I4" s="33"/>
      <c r="J4" s="33"/>
      <c r="K4" s="33"/>
      <c r="L4" s="33"/>
      <c r="M4" s="19"/>
    </row>
    <row r="5" spans="1:29" ht="19.5" x14ac:dyDescent="0.3">
      <c r="E5" s="33"/>
      <c r="F5" s="170" t="s">
        <v>242</v>
      </c>
      <c r="G5" s="170"/>
      <c r="H5" s="170"/>
      <c r="I5" s="170"/>
      <c r="J5" s="33"/>
      <c r="K5" s="33"/>
      <c r="L5" s="33"/>
      <c r="M5" s="19"/>
    </row>
    <row r="6" spans="1:29" ht="17.25" thickBot="1" x14ac:dyDescent="0.3">
      <c r="E6" s="19"/>
      <c r="F6" s="146"/>
      <c r="G6" s="19"/>
      <c r="H6" s="146"/>
      <c r="I6" s="19"/>
      <c r="J6" s="19"/>
      <c r="K6" s="19"/>
      <c r="L6" s="19"/>
      <c r="M6" s="19"/>
    </row>
    <row r="7" spans="1:29" x14ac:dyDescent="0.25">
      <c r="A7" s="149" t="s">
        <v>42</v>
      </c>
      <c r="B7" s="149" t="s">
        <v>43</v>
      </c>
      <c r="C7" s="149" t="s">
        <v>42</v>
      </c>
      <c r="D7" s="149" t="s">
        <v>43</v>
      </c>
      <c r="E7" s="149" t="s">
        <v>42</v>
      </c>
      <c r="F7" s="149" t="s">
        <v>43</v>
      </c>
      <c r="G7" s="149" t="s">
        <v>42</v>
      </c>
      <c r="H7" s="149" t="s">
        <v>43</v>
      </c>
      <c r="I7" s="149" t="s">
        <v>42</v>
      </c>
      <c r="J7" s="149" t="s">
        <v>43</v>
      </c>
      <c r="K7" s="150" t="s">
        <v>42</v>
      </c>
      <c r="L7" s="149" t="s">
        <v>43</v>
      </c>
      <c r="M7" s="150" t="s">
        <v>42</v>
      </c>
      <c r="N7" s="149" t="s">
        <v>43</v>
      </c>
      <c r="P7" s="30"/>
      <c r="S7" s="30"/>
    </row>
    <row r="8" spans="1:29" x14ac:dyDescent="0.25">
      <c r="A8" s="151" t="s">
        <v>44</v>
      </c>
      <c r="B8" s="155">
        <v>6</v>
      </c>
      <c r="C8" s="152" t="s">
        <v>45</v>
      </c>
      <c r="D8" s="156">
        <v>4</v>
      </c>
      <c r="E8" s="152" t="s">
        <v>46</v>
      </c>
      <c r="F8" s="155">
        <v>0</v>
      </c>
      <c r="G8" s="152" t="s">
        <v>47</v>
      </c>
      <c r="H8" s="156">
        <v>4</v>
      </c>
      <c r="I8" s="152" t="s">
        <v>48</v>
      </c>
      <c r="J8" s="155">
        <v>4</v>
      </c>
      <c r="K8" s="152" t="s">
        <v>49</v>
      </c>
      <c r="L8" s="156">
        <v>0</v>
      </c>
      <c r="M8" s="152" t="s">
        <v>50</v>
      </c>
      <c r="N8" s="152">
        <v>0</v>
      </c>
      <c r="P8" s="142" t="s">
        <v>44</v>
      </c>
      <c r="Q8" s="142">
        <v>3</v>
      </c>
      <c r="R8" s="142" t="s">
        <v>45</v>
      </c>
      <c r="S8" s="142">
        <v>4</v>
      </c>
      <c r="T8" s="142" t="s">
        <v>46</v>
      </c>
      <c r="U8" s="142">
        <v>4</v>
      </c>
      <c r="V8" s="142" t="s">
        <v>54</v>
      </c>
      <c r="W8" s="142">
        <v>5</v>
      </c>
      <c r="X8" s="128"/>
      <c r="Y8" s="128">
        <v>0</v>
      </c>
      <c r="Z8" s="128" t="s">
        <v>49</v>
      </c>
      <c r="AA8" s="128">
        <v>6</v>
      </c>
      <c r="AB8" s="128" t="s">
        <v>50</v>
      </c>
      <c r="AC8" s="128">
        <v>0</v>
      </c>
    </row>
    <row r="9" spans="1:29" x14ac:dyDescent="0.25">
      <c r="A9" s="151" t="s">
        <v>51</v>
      </c>
      <c r="B9" s="155">
        <v>7</v>
      </c>
      <c r="C9" s="152" t="s">
        <v>52</v>
      </c>
      <c r="D9" s="156">
        <v>5</v>
      </c>
      <c r="E9" s="152" t="s">
        <v>133</v>
      </c>
      <c r="F9" s="155">
        <v>6</v>
      </c>
      <c r="G9" s="152" t="s">
        <v>54</v>
      </c>
      <c r="H9" s="156">
        <v>3</v>
      </c>
      <c r="I9" s="152" t="s">
        <v>55</v>
      </c>
      <c r="J9" s="155">
        <v>6</v>
      </c>
      <c r="K9" s="152" t="s">
        <v>56</v>
      </c>
      <c r="L9" s="156">
        <v>0</v>
      </c>
      <c r="M9" s="152" t="s">
        <v>57</v>
      </c>
      <c r="N9" s="152">
        <v>0</v>
      </c>
      <c r="P9" s="142" t="s">
        <v>51</v>
      </c>
      <c r="Q9" s="142">
        <v>3</v>
      </c>
      <c r="R9" s="142" t="s">
        <v>52</v>
      </c>
      <c r="S9" s="142">
        <v>2</v>
      </c>
      <c r="T9" s="142" t="s">
        <v>133</v>
      </c>
      <c r="U9" s="142">
        <v>3</v>
      </c>
      <c r="V9" s="142" t="s">
        <v>75</v>
      </c>
      <c r="W9" s="142">
        <v>3</v>
      </c>
      <c r="X9" s="129"/>
      <c r="Y9" s="128">
        <v>0</v>
      </c>
      <c r="Z9" s="128" t="s">
        <v>56</v>
      </c>
      <c r="AA9" s="128">
        <v>6</v>
      </c>
      <c r="AB9" s="129" t="s">
        <v>57</v>
      </c>
      <c r="AC9" s="129">
        <v>0</v>
      </c>
    </row>
    <row r="10" spans="1:29" x14ac:dyDescent="0.25">
      <c r="A10" s="151" t="s">
        <v>58</v>
      </c>
      <c r="B10" s="155">
        <v>3</v>
      </c>
      <c r="C10" s="152" t="s">
        <v>136</v>
      </c>
      <c r="D10" s="156">
        <v>6</v>
      </c>
      <c r="E10" s="152" t="s">
        <v>53</v>
      </c>
      <c r="F10" s="155">
        <v>6</v>
      </c>
      <c r="G10" s="152" t="s">
        <v>61</v>
      </c>
      <c r="H10" s="156">
        <v>7</v>
      </c>
      <c r="I10" s="152" t="s">
        <v>62</v>
      </c>
      <c r="J10" s="155">
        <v>8</v>
      </c>
      <c r="K10" s="152" t="s">
        <v>63</v>
      </c>
      <c r="L10" s="156">
        <v>0</v>
      </c>
      <c r="M10" s="152" t="s">
        <v>64</v>
      </c>
      <c r="N10" s="152">
        <v>0</v>
      </c>
      <c r="P10" s="142" t="s">
        <v>58</v>
      </c>
      <c r="Q10" s="142">
        <v>4</v>
      </c>
      <c r="R10" s="142" t="s">
        <v>136</v>
      </c>
      <c r="S10" s="142">
        <v>2</v>
      </c>
      <c r="T10" s="142" t="s">
        <v>53</v>
      </c>
      <c r="U10" s="142">
        <v>2</v>
      </c>
      <c r="V10" s="142" t="s">
        <v>82</v>
      </c>
      <c r="W10" s="142">
        <v>5</v>
      </c>
      <c r="X10" s="129"/>
      <c r="Y10" s="128">
        <v>0</v>
      </c>
      <c r="Z10" s="128" t="s">
        <v>63</v>
      </c>
      <c r="AA10" s="128">
        <v>0</v>
      </c>
      <c r="AB10" s="129" t="s">
        <v>64</v>
      </c>
      <c r="AC10" s="129">
        <v>0</v>
      </c>
    </row>
    <row r="11" spans="1:29" x14ac:dyDescent="0.25">
      <c r="A11" s="151" t="s">
        <v>65</v>
      </c>
      <c r="B11" s="155">
        <v>2</v>
      </c>
      <c r="C11" s="152" t="s">
        <v>59</v>
      </c>
      <c r="D11" s="156">
        <v>4</v>
      </c>
      <c r="E11" s="152" t="s">
        <v>60</v>
      </c>
      <c r="F11" s="155">
        <v>0</v>
      </c>
      <c r="G11" s="152" t="s">
        <v>68</v>
      </c>
      <c r="H11" s="156">
        <v>0</v>
      </c>
      <c r="I11" s="152" t="s">
        <v>69</v>
      </c>
      <c r="J11" s="155">
        <v>3</v>
      </c>
      <c r="K11" s="152" t="s">
        <v>70</v>
      </c>
      <c r="L11" s="156">
        <v>0</v>
      </c>
      <c r="M11" s="152" t="s">
        <v>71</v>
      </c>
      <c r="N11" s="152">
        <v>0</v>
      </c>
      <c r="P11" s="142" t="s">
        <v>65</v>
      </c>
      <c r="Q11" s="142">
        <v>4</v>
      </c>
      <c r="R11" s="142" t="s">
        <v>59</v>
      </c>
      <c r="S11" s="142">
        <v>5</v>
      </c>
      <c r="T11" s="142" t="s">
        <v>60</v>
      </c>
      <c r="U11" s="142">
        <v>2</v>
      </c>
      <c r="V11" s="142" t="s">
        <v>94</v>
      </c>
      <c r="W11" s="142">
        <v>6</v>
      </c>
      <c r="X11" s="129"/>
      <c r="Y11" s="128">
        <v>0</v>
      </c>
      <c r="Z11" s="128" t="s">
        <v>70</v>
      </c>
      <c r="AA11" s="128">
        <v>6</v>
      </c>
      <c r="AB11" s="129" t="s">
        <v>71</v>
      </c>
      <c r="AC11" s="129">
        <v>0</v>
      </c>
    </row>
    <row r="12" spans="1:29" x14ac:dyDescent="0.25">
      <c r="A12" s="151" t="s">
        <v>72</v>
      </c>
      <c r="B12" s="155">
        <v>6</v>
      </c>
      <c r="C12" s="152" t="s">
        <v>66</v>
      </c>
      <c r="D12" s="156">
        <v>5</v>
      </c>
      <c r="E12" s="152" t="s">
        <v>67</v>
      </c>
      <c r="F12" s="155">
        <v>0</v>
      </c>
      <c r="G12" s="152" t="s">
        <v>75</v>
      </c>
      <c r="H12" s="156">
        <v>7</v>
      </c>
      <c r="I12" s="152" t="s">
        <v>76</v>
      </c>
      <c r="J12" s="155">
        <v>6</v>
      </c>
      <c r="K12" s="152" t="s">
        <v>77</v>
      </c>
      <c r="L12" s="156">
        <v>0</v>
      </c>
      <c r="M12" s="152" t="s">
        <v>78</v>
      </c>
      <c r="N12" s="152">
        <v>0</v>
      </c>
      <c r="P12" s="142" t="s">
        <v>72</v>
      </c>
      <c r="Q12" s="142">
        <v>6</v>
      </c>
      <c r="R12" s="142" t="s">
        <v>66</v>
      </c>
      <c r="S12" s="142">
        <v>3</v>
      </c>
      <c r="T12" s="142" t="s">
        <v>67</v>
      </c>
      <c r="U12" s="142">
        <v>6</v>
      </c>
      <c r="V12" s="142" t="s">
        <v>109</v>
      </c>
      <c r="W12" s="142">
        <v>5</v>
      </c>
      <c r="X12" s="129"/>
      <c r="Y12" s="128">
        <v>4</v>
      </c>
      <c r="Z12" s="128" t="s">
        <v>77</v>
      </c>
      <c r="AA12" s="128">
        <v>4</v>
      </c>
      <c r="AB12" s="129" t="s">
        <v>78</v>
      </c>
      <c r="AC12" s="129">
        <v>0</v>
      </c>
    </row>
    <row r="13" spans="1:29" x14ac:dyDescent="0.25">
      <c r="A13" s="151" t="s">
        <v>79</v>
      </c>
      <c r="B13" s="155">
        <v>6</v>
      </c>
      <c r="C13" s="152" t="s">
        <v>73</v>
      </c>
      <c r="D13" s="156">
        <v>3</v>
      </c>
      <c r="E13" s="152" t="s">
        <v>74</v>
      </c>
      <c r="F13" s="155">
        <v>5</v>
      </c>
      <c r="G13" s="152" t="s">
        <v>82</v>
      </c>
      <c r="H13" s="156">
        <v>5</v>
      </c>
      <c r="I13" s="152" t="s">
        <v>83</v>
      </c>
      <c r="J13" s="155">
        <v>0</v>
      </c>
      <c r="K13" s="152" t="s">
        <v>84</v>
      </c>
      <c r="L13" s="156">
        <v>0</v>
      </c>
      <c r="M13" s="152" t="s">
        <v>85</v>
      </c>
      <c r="N13" s="152">
        <v>0</v>
      </c>
      <c r="P13" s="142" t="s">
        <v>79</v>
      </c>
      <c r="Q13" s="142">
        <v>6</v>
      </c>
      <c r="R13" s="142" t="s">
        <v>73</v>
      </c>
      <c r="S13" s="142">
        <v>0</v>
      </c>
      <c r="T13" s="142" t="s">
        <v>74</v>
      </c>
      <c r="U13" s="142">
        <v>6</v>
      </c>
      <c r="V13" s="142"/>
      <c r="W13" s="142"/>
      <c r="X13" s="129"/>
      <c r="Y13" s="128">
        <v>4</v>
      </c>
      <c r="Z13" s="128" t="s">
        <v>84</v>
      </c>
      <c r="AA13" s="128">
        <v>0</v>
      </c>
      <c r="AB13" s="129" t="s">
        <v>85</v>
      </c>
      <c r="AC13" s="129">
        <v>0</v>
      </c>
    </row>
    <row r="14" spans="1:29" x14ac:dyDescent="0.25">
      <c r="A14" s="151" t="s">
        <v>86</v>
      </c>
      <c r="B14" s="155">
        <v>5</v>
      </c>
      <c r="C14" s="152" t="s">
        <v>80</v>
      </c>
      <c r="D14" s="156">
        <v>3</v>
      </c>
      <c r="E14" s="152" t="s">
        <v>81</v>
      </c>
      <c r="F14" s="155">
        <v>5</v>
      </c>
      <c r="G14" s="152" t="s">
        <v>89</v>
      </c>
      <c r="H14" s="156">
        <v>5</v>
      </c>
      <c r="I14" s="152" t="s">
        <v>90</v>
      </c>
      <c r="J14" s="155">
        <v>0</v>
      </c>
      <c r="K14" s="152" t="s">
        <v>91</v>
      </c>
      <c r="L14" s="156">
        <v>0</v>
      </c>
      <c r="M14" s="152"/>
      <c r="N14" s="152"/>
      <c r="P14" s="142" t="s">
        <v>86</v>
      </c>
      <c r="Q14" s="142">
        <v>5</v>
      </c>
      <c r="R14" s="142" t="s">
        <v>80</v>
      </c>
      <c r="S14" s="142">
        <v>3</v>
      </c>
      <c r="T14" s="142" t="s">
        <v>81</v>
      </c>
      <c r="U14" s="142">
        <v>5</v>
      </c>
      <c r="V14" s="142"/>
      <c r="W14" s="142"/>
      <c r="X14" s="129"/>
      <c r="Y14" s="128">
        <v>4</v>
      </c>
      <c r="Z14" s="128" t="s">
        <v>91</v>
      </c>
      <c r="AA14" s="128">
        <v>2</v>
      </c>
      <c r="AB14" s="129"/>
      <c r="AC14" s="129"/>
    </row>
    <row r="15" spans="1:29" x14ac:dyDescent="0.25">
      <c r="A15" s="151" t="s">
        <v>92</v>
      </c>
      <c r="B15" s="155">
        <v>3</v>
      </c>
      <c r="C15" s="152" t="s">
        <v>87</v>
      </c>
      <c r="D15" s="156">
        <v>7</v>
      </c>
      <c r="E15" s="152" t="s">
        <v>88</v>
      </c>
      <c r="F15" s="155">
        <v>6</v>
      </c>
      <c r="G15" s="152" t="s">
        <v>94</v>
      </c>
      <c r="H15" s="156">
        <v>6</v>
      </c>
      <c r="I15" s="152" t="s">
        <v>95</v>
      </c>
      <c r="J15" s="155">
        <v>0</v>
      </c>
      <c r="K15" s="152" t="s">
        <v>96</v>
      </c>
      <c r="L15" s="156">
        <v>0</v>
      </c>
      <c r="M15" s="152"/>
      <c r="N15" s="152"/>
      <c r="P15" s="142" t="s">
        <v>92</v>
      </c>
      <c r="Q15" s="142">
        <v>3</v>
      </c>
      <c r="R15" s="142" t="s">
        <v>87</v>
      </c>
      <c r="S15" s="142">
        <v>5</v>
      </c>
      <c r="T15" s="142" t="s">
        <v>88</v>
      </c>
      <c r="U15" s="142">
        <v>4</v>
      </c>
      <c r="V15" s="142"/>
      <c r="W15" s="142"/>
      <c r="X15" s="129"/>
      <c r="Y15" s="128">
        <v>4</v>
      </c>
      <c r="Z15" s="128" t="s">
        <v>96</v>
      </c>
      <c r="AA15" s="128">
        <v>7</v>
      </c>
      <c r="AB15" s="129"/>
      <c r="AC15" s="129"/>
    </row>
    <row r="16" spans="1:29" x14ac:dyDescent="0.25">
      <c r="A16" s="151" t="s">
        <v>97</v>
      </c>
      <c r="B16" s="155">
        <v>5</v>
      </c>
      <c r="C16" s="152" t="s">
        <v>93</v>
      </c>
      <c r="D16" s="156">
        <v>2</v>
      </c>
      <c r="E16" s="152" t="s">
        <v>137</v>
      </c>
      <c r="F16" s="155">
        <v>6</v>
      </c>
      <c r="G16" s="152" t="s">
        <v>99</v>
      </c>
      <c r="H16" s="156">
        <v>6</v>
      </c>
      <c r="I16" s="152" t="s">
        <v>100</v>
      </c>
      <c r="J16" s="155">
        <v>0</v>
      </c>
      <c r="K16" s="152" t="s">
        <v>101</v>
      </c>
      <c r="L16" s="156">
        <v>0</v>
      </c>
      <c r="M16" s="152"/>
      <c r="N16" s="152"/>
      <c r="P16" s="142" t="s">
        <v>97</v>
      </c>
      <c r="Q16" s="142">
        <v>4</v>
      </c>
      <c r="R16" s="142" t="s">
        <v>93</v>
      </c>
      <c r="S16" s="142">
        <v>5</v>
      </c>
      <c r="T16" s="142" t="s">
        <v>137</v>
      </c>
      <c r="U16" s="142">
        <v>5</v>
      </c>
      <c r="V16" s="142"/>
      <c r="W16" s="142"/>
      <c r="X16" s="129"/>
      <c r="Y16" s="128">
        <v>0</v>
      </c>
      <c r="Z16" s="128" t="s">
        <v>101</v>
      </c>
      <c r="AA16" s="128">
        <v>0</v>
      </c>
      <c r="AB16" s="129"/>
      <c r="AC16" s="129"/>
    </row>
    <row r="17" spans="1:29" x14ac:dyDescent="0.25">
      <c r="A17" s="151" t="s">
        <v>102</v>
      </c>
      <c r="B17" s="155">
        <v>4</v>
      </c>
      <c r="C17" s="152" t="s">
        <v>98</v>
      </c>
      <c r="D17" s="156">
        <v>0</v>
      </c>
      <c r="E17" s="152" t="s">
        <v>192</v>
      </c>
      <c r="F17" s="155">
        <v>4</v>
      </c>
      <c r="G17" s="152" t="s">
        <v>104</v>
      </c>
      <c r="H17" s="156">
        <v>3</v>
      </c>
      <c r="I17" s="152" t="s">
        <v>105</v>
      </c>
      <c r="J17" s="155">
        <v>0</v>
      </c>
      <c r="K17" s="152" t="s">
        <v>106</v>
      </c>
      <c r="L17" s="156">
        <v>0</v>
      </c>
      <c r="M17" s="152"/>
      <c r="N17" s="152"/>
      <c r="P17" s="142" t="s">
        <v>102</v>
      </c>
      <c r="Q17" s="142">
        <v>3</v>
      </c>
      <c r="R17" s="142" t="s">
        <v>98</v>
      </c>
      <c r="S17" s="142">
        <v>6</v>
      </c>
      <c r="T17" s="142" t="s">
        <v>192</v>
      </c>
      <c r="U17" s="142">
        <v>4</v>
      </c>
      <c r="V17" s="142"/>
      <c r="W17" s="142"/>
      <c r="X17" s="129"/>
      <c r="Y17" s="128">
        <v>0</v>
      </c>
      <c r="Z17" s="128" t="s">
        <v>106</v>
      </c>
      <c r="AA17" s="128">
        <v>0</v>
      </c>
      <c r="AB17" s="129"/>
      <c r="AC17" s="129"/>
    </row>
    <row r="18" spans="1:29" x14ac:dyDescent="0.25">
      <c r="A18" s="151" t="s">
        <v>107</v>
      </c>
      <c r="B18" s="155">
        <v>0</v>
      </c>
      <c r="C18" s="152" t="s">
        <v>103</v>
      </c>
      <c r="D18" s="156">
        <v>6</v>
      </c>
      <c r="E18" s="152" t="s">
        <v>193</v>
      </c>
      <c r="F18" s="155">
        <v>0</v>
      </c>
      <c r="G18" s="152" t="s">
        <v>109</v>
      </c>
      <c r="H18" s="156">
        <v>0</v>
      </c>
      <c r="I18" s="152" t="s">
        <v>110</v>
      </c>
      <c r="J18" s="155">
        <v>0</v>
      </c>
      <c r="K18" s="152" t="s">
        <v>111</v>
      </c>
      <c r="L18" s="156">
        <v>0</v>
      </c>
      <c r="M18" s="152"/>
      <c r="N18" s="152"/>
      <c r="P18" s="142" t="s">
        <v>107</v>
      </c>
      <c r="Q18" s="142">
        <v>5</v>
      </c>
      <c r="R18" s="142" t="s">
        <v>103</v>
      </c>
      <c r="S18" s="142">
        <v>4</v>
      </c>
      <c r="T18" s="142" t="s">
        <v>193</v>
      </c>
      <c r="U18" s="142">
        <v>6</v>
      </c>
      <c r="V18" s="142"/>
      <c r="W18" s="142"/>
      <c r="X18" s="129"/>
      <c r="Y18" s="128">
        <v>6</v>
      </c>
      <c r="Z18" s="128" t="s">
        <v>111</v>
      </c>
      <c r="AA18" s="128">
        <v>4</v>
      </c>
      <c r="AB18" s="129"/>
      <c r="AC18" s="129"/>
    </row>
    <row r="19" spans="1:29" x14ac:dyDescent="0.25">
      <c r="A19" s="151" t="s">
        <v>112</v>
      </c>
      <c r="B19" s="155">
        <v>0</v>
      </c>
      <c r="C19" s="152" t="s">
        <v>108</v>
      </c>
      <c r="D19" s="156">
        <v>4</v>
      </c>
      <c r="E19" s="152" t="s">
        <v>155</v>
      </c>
      <c r="F19" s="155">
        <v>6</v>
      </c>
      <c r="G19" s="152"/>
      <c r="H19" s="152"/>
      <c r="I19" s="152"/>
      <c r="J19" s="152"/>
      <c r="K19" s="152"/>
      <c r="L19" s="152"/>
      <c r="M19" s="152"/>
      <c r="N19" s="152"/>
      <c r="P19" s="142" t="s">
        <v>112</v>
      </c>
      <c r="Q19" s="142">
        <v>4</v>
      </c>
      <c r="R19" s="142" t="s">
        <v>108</v>
      </c>
      <c r="S19" s="142">
        <v>5</v>
      </c>
      <c r="T19" s="142" t="s">
        <v>155</v>
      </c>
      <c r="U19" s="142">
        <v>0</v>
      </c>
      <c r="V19" s="142"/>
      <c r="W19" s="142"/>
      <c r="X19" s="129"/>
      <c r="Y19" s="129"/>
      <c r="Z19" s="129"/>
      <c r="AA19" s="129"/>
      <c r="AB19" s="129"/>
      <c r="AC19" s="129"/>
    </row>
    <row r="20" spans="1:29" x14ac:dyDescent="0.25">
      <c r="A20" s="151"/>
      <c r="B20" s="152"/>
      <c r="C20" s="152" t="s">
        <v>113</v>
      </c>
      <c r="D20" s="156">
        <v>5</v>
      </c>
      <c r="E20" s="152" t="s">
        <v>194</v>
      </c>
      <c r="F20" s="155">
        <v>6</v>
      </c>
      <c r="G20" s="152"/>
      <c r="H20" s="152"/>
      <c r="I20" s="152"/>
      <c r="J20" s="152"/>
      <c r="K20" s="152"/>
      <c r="L20" s="152"/>
      <c r="M20" s="152"/>
      <c r="N20" s="152"/>
      <c r="P20" s="142"/>
      <c r="Q20" s="142"/>
      <c r="R20" s="142" t="s">
        <v>113</v>
      </c>
      <c r="S20" s="142">
        <v>3</v>
      </c>
      <c r="T20" s="142" t="s">
        <v>194</v>
      </c>
      <c r="U20" s="142">
        <v>6</v>
      </c>
      <c r="V20" s="142"/>
      <c r="W20" s="142"/>
      <c r="X20" s="129"/>
      <c r="Y20" s="129"/>
      <c r="Z20" s="129"/>
      <c r="AA20" s="129"/>
      <c r="AB20" s="129"/>
      <c r="AC20" s="129"/>
    </row>
    <row r="21" spans="1:29" ht="17.25" thickBot="1" x14ac:dyDescent="0.3">
      <c r="A21" s="151"/>
      <c r="B21" s="152"/>
      <c r="C21" s="152" t="s">
        <v>195</v>
      </c>
      <c r="D21" s="156">
        <v>0</v>
      </c>
      <c r="E21" s="152" t="s">
        <v>196</v>
      </c>
      <c r="F21" s="155">
        <v>7</v>
      </c>
      <c r="G21" s="152"/>
      <c r="H21" s="152"/>
      <c r="I21" s="152"/>
      <c r="J21" s="152"/>
      <c r="K21" s="152"/>
      <c r="L21" s="152"/>
      <c r="M21" s="152"/>
      <c r="N21" s="152"/>
      <c r="P21" s="142"/>
      <c r="Q21" s="142"/>
      <c r="R21" s="142" t="s">
        <v>195</v>
      </c>
      <c r="S21" s="142">
        <v>7</v>
      </c>
      <c r="T21" s="142" t="s">
        <v>196</v>
      </c>
      <c r="U21" s="142">
        <v>8</v>
      </c>
      <c r="V21" s="142"/>
      <c r="W21" s="142"/>
      <c r="X21" s="130"/>
      <c r="Y21" s="130"/>
      <c r="Z21" s="130"/>
      <c r="AA21" s="130"/>
      <c r="AB21" s="130"/>
      <c r="AC21" s="130"/>
    </row>
    <row r="22" spans="1:29" x14ac:dyDescent="0.25">
      <c r="A22" s="171"/>
      <c r="B22" s="171"/>
      <c r="C22" s="152"/>
      <c r="D22" s="152"/>
      <c r="E22" s="153" t="s">
        <v>157</v>
      </c>
      <c r="F22" s="152">
        <v>0</v>
      </c>
      <c r="G22" s="152"/>
      <c r="H22" s="152"/>
      <c r="I22" s="152"/>
      <c r="J22" s="152"/>
      <c r="K22" s="152"/>
      <c r="L22" s="152"/>
      <c r="M22" s="152"/>
      <c r="N22" s="152"/>
      <c r="P22" s="30"/>
      <c r="S22" s="30"/>
    </row>
    <row r="23" spans="1:29" x14ac:dyDescent="0.25">
      <c r="A23" s="154"/>
      <c r="B23" s="154"/>
      <c r="C23" s="152"/>
      <c r="D23" s="152"/>
      <c r="E23" s="153" t="s">
        <v>204</v>
      </c>
      <c r="F23" s="152">
        <v>1</v>
      </c>
      <c r="G23" s="152"/>
      <c r="H23" s="152"/>
      <c r="I23" s="152"/>
      <c r="J23" s="152"/>
      <c r="K23" s="152"/>
      <c r="L23" s="152"/>
      <c r="M23" s="152"/>
      <c r="N23" s="152"/>
      <c r="P23" s="30"/>
      <c r="S23" s="30"/>
    </row>
    <row r="24" spans="1:29" x14ac:dyDescent="0.25">
      <c r="A24" s="28"/>
      <c r="B24" s="148">
        <f>SUM(B8:B23)</f>
        <v>47</v>
      </c>
      <c r="C24" s="28"/>
      <c r="D24" s="148">
        <f>SUM(D8:D23)</f>
        <v>54</v>
      </c>
      <c r="E24" s="28"/>
      <c r="F24" s="148">
        <f>SUM(F8:F23)</f>
        <v>58</v>
      </c>
      <c r="G24" s="28"/>
      <c r="H24" s="148">
        <f>SUM(H8:H23)</f>
        <v>46</v>
      </c>
      <c r="I24" s="28"/>
      <c r="J24" s="28">
        <f t="shared" ref="J24:N24" si="0">SUM(J8:J23)</f>
        <v>27</v>
      </c>
      <c r="K24" s="28"/>
      <c r="L24" s="28">
        <f t="shared" si="0"/>
        <v>0</v>
      </c>
      <c r="M24" s="28"/>
      <c r="N24" s="28">
        <f t="shared" si="0"/>
        <v>0</v>
      </c>
      <c r="P24" s="30"/>
      <c r="S24" s="30"/>
    </row>
    <row r="25" spans="1:29" x14ac:dyDescent="0.25">
      <c r="B25" s="172"/>
      <c r="C25" s="172"/>
      <c r="D25" s="172"/>
      <c r="E25" s="172"/>
      <c r="F25" s="172"/>
      <c r="G25" s="28" t="s">
        <v>241</v>
      </c>
      <c r="I25" s="28"/>
      <c r="J25" s="28"/>
      <c r="K25" s="28"/>
      <c r="L25" s="28"/>
      <c r="M25" s="28"/>
    </row>
    <row r="26" spans="1:29" x14ac:dyDescent="0.25">
      <c r="H26" s="169" t="s">
        <v>114</v>
      </c>
      <c r="I26" s="169"/>
      <c r="J26" s="169"/>
      <c r="K26" s="169"/>
      <c r="L26" s="19"/>
      <c r="M26" s="19"/>
      <c r="S26" s="30"/>
    </row>
    <row r="27" spans="1:29" x14ac:dyDescent="0.25">
      <c r="H27" s="146"/>
      <c r="I27" s="169"/>
      <c r="J27" s="169"/>
      <c r="K27" s="32"/>
      <c r="L27" s="19"/>
      <c r="M27" s="19"/>
    </row>
    <row r="28" spans="1:29" x14ac:dyDescent="0.25">
      <c r="H28" s="146"/>
      <c r="I28" s="19"/>
      <c r="J28" s="19"/>
      <c r="K28" s="19"/>
      <c r="L28" s="19"/>
      <c r="M28" s="19"/>
      <c r="Q28" s="31"/>
      <c r="R28" s="31"/>
    </row>
    <row r="29" spans="1:29" x14ac:dyDescent="0.25">
      <c r="H29" s="169"/>
      <c r="I29" s="169"/>
      <c r="J29" s="169"/>
      <c r="K29" s="32"/>
      <c r="L29" s="19"/>
      <c r="P29" s="34"/>
      <c r="Q29" s="31"/>
      <c r="R29" s="31"/>
    </row>
    <row r="30" spans="1:29" ht="24" customHeight="1" x14ac:dyDescent="0.25">
      <c r="I30" s="32"/>
      <c r="J30" s="32"/>
      <c r="K30" s="32"/>
      <c r="P30" s="35"/>
      <c r="Q30" s="31"/>
      <c r="R30" s="31"/>
    </row>
    <row r="31" spans="1:29" ht="21" customHeight="1" x14ac:dyDescent="0.25">
      <c r="P31" s="35"/>
      <c r="Q31" s="31"/>
      <c r="R31" s="31"/>
    </row>
    <row r="32" spans="1:29" x14ac:dyDescent="0.25">
      <c r="P32" s="35"/>
      <c r="Q32" s="31"/>
      <c r="R32" s="31"/>
    </row>
    <row r="33" spans="16:18" x14ac:dyDescent="0.25">
      <c r="P33" s="35"/>
      <c r="Q33" s="31"/>
      <c r="R33" s="31"/>
    </row>
    <row r="34" spans="16:18" ht="1.5" customHeight="1" x14ac:dyDescent="0.25"/>
    <row r="35" spans="16:18" ht="6" customHeight="1" x14ac:dyDescent="0.25"/>
  </sheetData>
  <mergeCells count="6">
    <mergeCell ref="H29:J29"/>
    <mergeCell ref="F5:I5"/>
    <mergeCell ref="A22:B22"/>
    <mergeCell ref="B25:F25"/>
    <mergeCell ref="H26:K26"/>
    <mergeCell ref="I27:J27"/>
  </mergeCells>
  <pageMargins left="0.7" right="0.7" top="0.75" bottom="0.75" header="0.3" footer="0.3"/>
  <pageSetup scale="9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2"/>
  <sheetViews>
    <sheetView tabSelected="1" view="pageBreakPreview" zoomScaleNormal="115" zoomScaleSheetLayoutView="100" zoomScalePageLayoutView="115" workbookViewId="0">
      <selection activeCell="Z10" sqref="Z10"/>
    </sheetView>
  </sheetViews>
  <sheetFormatPr defaultRowHeight="15" x14ac:dyDescent="0.25"/>
  <cols>
    <col min="1" max="1" width="11" customWidth="1"/>
    <col min="2" max="3" width="9.85546875" style="108" customWidth="1"/>
    <col min="4" max="4" width="7.140625" style="4" hidden="1" customWidth="1"/>
    <col min="5" max="5" width="11.5703125" style="3" customWidth="1"/>
    <col min="6" max="6" width="14.5703125" style="127" bestFit="1" customWidth="1"/>
    <col min="7" max="7" width="18.42578125" style="3" customWidth="1"/>
    <col min="8" max="8" width="19.28515625" customWidth="1"/>
    <col min="9" max="9" width="13.7109375" style="17" hidden="1" customWidth="1"/>
    <col min="10" max="10" width="11.140625" hidden="1" customWidth="1"/>
    <col min="11" max="11" width="9.28515625" hidden="1" customWidth="1"/>
    <col min="12" max="12" width="10.28515625" hidden="1" customWidth="1"/>
    <col min="13" max="13" width="0" hidden="1" customWidth="1"/>
    <col min="14" max="14" width="10.5703125" hidden="1" customWidth="1"/>
    <col min="15" max="20" width="0" hidden="1" customWidth="1"/>
  </cols>
  <sheetData>
    <row r="1" spans="1:15" ht="15.75" x14ac:dyDescent="0.25">
      <c r="A1" s="183" t="s">
        <v>131</v>
      </c>
      <c r="B1" s="183"/>
      <c r="C1" s="183"/>
      <c r="D1" s="183"/>
      <c r="E1" s="183"/>
      <c r="F1" s="183"/>
      <c r="G1" s="183"/>
      <c r="H1" s="183"/>
      <c r="K1" t="s">
        <v>7</v>
      </c>
      <c r="L1">
        <v>2900</v>
      </c>
    </row>
    <row r="2" spans="1:15" ht="15.75" x14ac:dyDescent="0.25">
      <c r="A2" s="184" t="s">
        <v>132</v>
      </c>
      <c r="B2" s="184"/>
      <c r="C2" s="184"/>
      <c r="D2" s="184"/>
      <c r="E2" s="184"/>
      <c r="F2" s="184"/>
      <c r="G2" s="184"/>
      <c r="H2" s="184"/>
      <c r="K2" t="s">
        <v>8</v>
      </c>
      <c r="L2">
        <v>18000</v>
      </c>
    </row>
    <row r="4" spans="1:15" ht="22.5" customHeight="1" x14ac:dyDescent="0.25">
      <c r="A4" s="185" t="s">
        <v>244</v>
      </c>
      <c r="B4" s="185"/>
      <c r="C4" s="185"/>
      <c r="D4" s="185"/>
      <c r="E4" s="185"/>
      <c r="F4" s="185"/>
      <c r="G4" s="185"/>
      <c r="H4" s="185"/>
      <c r="I4" s="44"/>
      <c r="J4" s="39" t="s">
        <v>31</v>
      </c>
      <c r="K4" s="39" t="s">
        <v>117</v>
      </c>
      <c r="L4" s="39" t="s">
        <v>29</v>
      </c>
      <c r="M4" s="39" t="s">
        <v>30</v>
      </c>
      <c r="N4" s="39" t="s">
        <v>115</v>
      </c>
      <c r="O4" s="39" t="s">
        <v>116</v>
      </c>
    </row>
    <row r="5" spans="1:15" ht="13.5" customHeight="1" x14ac:dyDescent="0.25">
      <c r="A5" s="190"/>
      <c r="B5" s="190"/>
      <c r="C5" s="190"/>
      <c r="D5" s="190"/>
      <c r="E5" s="190"/>
      <c r="F5" s="190"/>
      <c r="G5" s="190"/>
      <c r="H5" s="190"/>
      <c r="I5" s="44"/>
      <c r="J5" s="27" t="s">
        <v>28</v>
      </c>
      <c r="K5" s="39">
        <v>91</v>
      </c>
      <c r="L5" s="39">
        <v>117</v>
      </c>
      <c r="M5" s="39">
        <f>L5-K5</f>
        <v>26</v>
      </c>
      <c r="N5" s="55">
        <f>SUM('so nguoi'!H8:H13)</f>
        <v>26</v>
      </c>
      <c r="O5" s="39">
        <f>M5/N5</f>
        <v>1</v>
      </c>
    </row>
    <row r="6" spans="1:15" x14ac:dyDescent="0.25">
      <c r="A6" s="39"/>
      <c r="B6" s="113"/>
      <c r="C6" s="113"/>
      <c r="D6" s="40"/>
      <c r="E6" s="41"/>
      <c r="F6" s="125"/>
      <c r="G6" s="56" t="s">
        <v>234</v>
      </c>
      <c r="H6" s="56"/>
      <c r="I6" s="56"/>
      <c r="J6" s="39" t="s">
        <v>32</v>
      </c>
      <c r="K6" s="39">
        <v>60</v>
      </c>
      <c r="L6" s="39">
        <v>76</v>
      </c>
      <c r="M6" s="39">
        <f t="shared" ref="M6:M10" si="0">L6-K6</f>
        <v>16</v>
      </c>
      <c r="N6" s="55">
        <f>SUM('so nguoi'!H14:H18)</f>
        <v>20</v>
      </c>
      <c r="O6" s="39">
        <f t="shared" ref="O6:O10" si="1">M6/N6</f>
        <v>0.8</v>
      </c>
    </row>
    <row r="7" spans="1:15" x14ac:dyDescent="0.25">
      <c r="A7" s="39"/>
      <c r="B7" s="113"/>
      <c r="C7" s="113"/>
      <c r="D7" s="40"/>
      <c r="E7" s="41"/>
      <c r="F7" s="125"/>
      <c r="G7" s="56" t="s">
        <v>235</v>
      </c>
      <c r="H7" s="56"/>
      <c r="I7" s="56"/>
      <c r="J7" s="39" t="s">
        <v>33</v>
      </c>
      <c r="K7" s="39">
        <v>116</v>
      </c>
      <c r="L7" s="39">
        <v>159</v>
      </c>
      <c r="M7" s="39">
        <f t="shared" si="0"/>
        <v>43</v>
      </c>
      <c r="N7" s="39">
        <f>SUM('so nguoi'!J8:J13)</f>
        <v>27</v>
      </c>
      <c r="O7" s="39">
        <f t="shared" si="1"/>
        <v>1.5925925925925926</v>
      </c>
    </row>
    <row r="8" spans="1:15" ht="34.5" customHeight="1" x14ac:dyDescent="0.25">
      <c r="A8" s="13" t="s">
        <v>17</v>
      </c>
      <c r="B8" s="14" t="s">
        <v>10</v>
      </c>
      <c r="C8" s="14" t="s">
        <v>9</v>
      </c>
      <c r="D8" s="15" t="s">
        <v>18</v>
      </c>
      <c r="E8" s="14" t="s">
        <v>120</v>
      </c>
      <c r="F8" s="126" t="s">
        <v>19</v>
      </c>
      <c r="G8" s="14" t="s">
        <v>20</v>
      </c>
      <c r="H8" s="14" t="s">
        <v>16</v>
      </c>
      <c r="I8" s="44"/>
      <c r="J8" s="39" t="s">
        <v>34</v>
      </c>
      <c r="K8" s="39">
        <v>111</v>
      </c>
      <c r="L8" s="39">
        <v>161</v>
      </c>
      <c r="M8" s="39">
        <f t="shared" si="0"/>
        <v>50</v>
      </c>
      <c r="N8" s="39">
        <f>SUM('so nguoi'!J14:J18)</f>
        <v>0</v>
      </c>
      <c r="O8" s="39" t="e">
        <f t="shared" si="1"/>
        <v>#DIV/0!</v>
      </c>
    </row>
    <row r="9" spans="1:15" s="2" customFormat="1" ht="23.25" customHeight="1" x14ac:dyDescent="0.3">
      <c r="A9" s="66" t="s">
        <v>158</v>
      </c>
      <c r="B9" s="117"/>
      <c r="C9" s="117"/>
      <c r="D9" s="71"/>
      <c r="E9" s="72"/>
      <c r="F9" s="87"/>
      <c r="G9" s="71"/>
      <c r="H9" s="173">
        <f>ROUND(SUM(G10:G11),-3)</f>
        <v>614000</v>
      </c>
      <c r="I9" s="74"/>
      <c r="J9" s="62" t="s">
        <v>35</v>
      </c>
      <c r="K9" s="62">
        <v>215</v>
      </c>
      <c r="L9" s="62">
        <v>298</v>
      </c>
      <c r="M9" s="62">
        <f t="shared" si="0"/>
        <v>83</v>
      </c>
      <c r="N9" s="62">
        <f>SUM('so nguoi'!L8:L13)</f>
        <v>0</v>
      </c>
      <c r="O9" s="62" t="e">
        <f t="shared" si="1"/>
        <v>#DIV/0!</v>
      </c>
    </row>
    <row r="10" spans="1:15" ht="16.5" x14ac:dyDescent="0.25">
      <c r="A10" s="112" t="s">
        <v>5</v>
      </c>
      <c r="B10" s="112">
        <v>3345</v>
      </c>
      <c r="C10" s="112">
        <v>3451</v>
      </c>
      <c r="D10" s="182">
        <f>VLOOKUP(RIGHT(LEFT(A9,11),4),'so nguoi'!$A$8:$B$21,2,0)</f>
        <v>6</v>
      </c>
      <c r="E10" s="25">
        <f>C10-B10</f>
        <v>106</v>
      </c>
      <c r="F10" s="26">
        <f>E10</f>
        <v>106</v>
      </c>
      <c r="G10" s="77">
        <f>ROUND(F10*$L$1,-3)</f>
        <v>307000</v>
      </c>
      <c r="H10" s="174"/>
      <c r="J10" s="39" t="s">
        <v>36</v>
      </c>
      <c r="K10" s="39">
        <v>229</v>
      </c>
      <c r="L10" s="39">
        <v>307</v>
      </c>
      <c r="M10" s="39">
        <f t="shared" si="0"/>
        <v>78</v>
      </c>
      <c r="N10" s="39">
        <f>SUM('so nguoi'!L14:L18)</f>
        <v>0</v>
      </c>
      <c r="O10" s="39" t="e">
        <f t="shared" si="1"/>
        <v>#DIV/0!</v>
      </c>
    </row>
    <row r="11" spans="1:15" ht="16.5" x14ac:dyDescent="0.25">
      <c r="A11" s="110" t="s">
        <v>6</v>
      </c>
      <c r="B11" s="110">
        <v>1418</v>
      </c>
      <c r="C11" s="110">
        <v>1455</v>
      </c>
      <c r="D11" s="182"/>
      <c r="E11" s="111">
        <f>C11-B11</f>
        <v>37</v>
      </c>
      <c r="F11" s="22">
        <f>IF(D10=0,0,(E11/(D10+D13)*D10))</f>
        <v>17.076923076923077</v>
      </c>
      <c r="G11" s="119">
        <f>ROUND(F11*$L$2,-3)</f>
        <v>307000</v>
      </c>
      <c r="H11" s="175"/>
      <c r="I11" s="143"/>
      <c r="J11" s="144"/>
      <c r="K11" s="144"/>
      <c r="L11" s="144"/>
      <c r="M11" s="39"/>
      <c r="N11" s="39"/>
      <c r="O11" s="39"/>
    </row>
    <row r="12" spans="1:15" s="2" customFormat="1" ht="23.25" customHeight="1" x14ac:dyDescent="0.3">
      <c r="A12" s="84" t="s">
        <v>159</v>
      </c>
      <c r="B12" s="120"/>
      <c r="C12" s="120"/>
      <c r="D12" s="120"/>
      <c r="E12" s="86"/>
      <c r="F12" s="87"/>
      <c r="G12" s="120"/>
      <c r="H12" s="173">
        <f>ROUND(SUM(G13:G14),-3)</f>
        <v>637000</v>
      </c>
      <c r="I12" s="74"/>
      <c r="J12" s="62"/>
      <c r="K12" s="62"/>
      <c r="L12" s="62"/>
      <c r="M12" s="62"/>
      <c r="N12" s="62"/>
      <c r="O12" s="62"/>
    </row>
    <row r="13" spans="1:15" ht="16.5" x14ac:dyDescent="0.25">
      <c r="A13" s="112" t="s">
        <v>5</v>
      </c>
      <c r="B13" s="112">
        <v>2877</v>
      </c>
      <c r="C13" s="112">
        <v>2973</v>
      </c>
      <c r="D13" s="182">
        <f>VLOOKUP(RIGHT(LEFT(A12,11),4),'so nguoi'!$A$8:$B$21,2,0)</f>
        <v>7</v>
      </c>
      <c r="E13" s="25">
        <f>C13-B13</f>
        <v>96</v>
      </c>
      <c r="F13" s="26">
        <f>E13</f>
        <v>96</v>
      </c>
      <c r="G13" s="77">
        <f>ROUND(F13*$L$1,-3)</f>
        <v>278000</v>
      </c>
      <c r="H13" s="174"/>
      <c r="I13" s="44"/>
      <c r="J13" s="39"/>
      <c r="K13" s="39"/>
      <c r="L13" s="39"/>
      <c r="M13" s="39"/>
      <c r="N13" s="39"/>
      <c r="O13" s="39"/>
    </row>
    <row r="14" spans="1:15" ht="16.5" x14ac:dyDescent="0.25">
      <c r="A14" s="110" t="s">
        <v>6</v>
      </c>
      <c r="B14" s="110">
        <f>B11</f>
        <v>1418</v>
      </c>
      <c r="C14" s="110">
        <f>C11</f>
        <v>1455</v>
      </c>
      <c r="D14" s="182"/>
      <c r="E14" s="111">
        <f>C14-B14</f>
        <v>37</v>
      </c>
      <c r="F14" s="22">
        <f>IF(D13=0,0,(E14/(D13+D10)*D13))</f>
        <v>19.923076923076923</v>
      </c>
      <c r="G14" s="119">
        <f>ROUND(F14*$L$2,-3)</f>
        <v>359000</v>
      </c>
      <c r="H14" s="175"/>
      <c r="I14" s="44"/>
      <c r="J14" s="39"/>
      <c r="K14" s="39"/>
      <c r="L14" s="39"/>
      <c r="M14" s="39"/>
      <c r="N14" s="39"/>
      <c r="O14" s="39"/>
    </row>
    <row r="15" spans="1:15" s="2" customFormat="1" ht="23.25" customHeight="1" x14ac:dyDescent="0.3">
      <c r="A15" s="84" t="s">
        <v>160</v>
      </c>
      <c r="B15" s="120"/>
      <c r="C15" s="120"/>
      <c r="D15" s="120"/>
      <c r="E15" s="86"/>
      <c r="F15" s="87"/>
      <c r="G15" s="120"/>
      <c r="H15" s="173">
        <f t="shared" ref="H15" si="2">ROUND(SUM(G16:G17),-3)</f>
        <v>215000</v>
      </c>
      <c r="I15" s="74"/>
      <c r="J15" s="62" t="str">
        <f>RIGHT(LEFT(A9,11),4)</f>
        <v>C001</v>
      </c>
      <c r="K15" s="62"/>
      <c r="L15" s="62"/>
      <c r="M15" s="62"/>
      <c r="N15" s="62"/>
      <c r="O15" s="62"/>
    </row>
    <row r="16" spans="1:15" ht="16.5" x14ac:dyDescent="0.25">
      <c r="A16" s="112" t="s">
        <v>5</v>
      </c>
      <c r="B16" s="112">
        <v>2958</v>
      </c>
      <c r="C16" s="112">
        <v>2995</v>
      </c>
      <c r="D16" s="182">
        <f>VLOOKUP(RIGHT(LEFT(A15,11),4),'so nguoi'!$A$8:$B$21,2,0)</f>
        <v>3</v>
      </c>
      <c r="E16" s="25">
        <f>C16-B16</f>
        <v>37</v>
      </c>
      <c r="F16" s="26">
        <f>E16</f>
        <v>37</v>
      </c>
      <c r="G16" s="77">
        <f>ROUND(F16*$L$1,-3)</f>
        <v>107000</v>
      </c>
      <c r="H16" s="174"/>
      <c r="I16" s="44"/>
      <c r="J16" s="62" t="str">
        <f t="shared" ref="J16:J32" si="3">RIGHT(LEFT(A10,11),4)</f>
        <v>Điện</v>
      </c>
      <c r="K16" s="39"/>
      <c r="L16" s="39"/>
      <c r="M16" s="39"/>
      <c r="N16" s="39"/>
      <c r="O16" s="39"/>
    </row>
    <row r="17" spans="1:15" ht="16.5" x14ac:dyDescent="0.25">
      <c r="A17" s="110" t="s">
        <v>6</v>
      </c>
      <c r="B17" s="132">
        <v>606</v>
      </c>
      <c r="C17" s="132">
        <v>612</v>
      </c>
      <c r="D17" s="182"/>
      <c r="E17" s="111">
        <f>C17-B17</f>
        <v>6</v>
      </c>
      <c r="F17" s="22">
        <f>E17</f>
        <v>6</v>
      </c>
      <c r="G17" s="119">
        <f>ROUND(F17*$L$2,-3)</f>
        <v>108000</v>
      </c>
      <c r="H17" s="175"/>
      <c r="I17" s="44"/>
      <c r="J17" s="62" t="str">
        <f t="shared" si="3"/>
        <v>Nước</v>
      </c>
      <c r="K17" s="39">
        <f>VLOOKUP(J15,'so nguoi'!$A$8:$B$21,2,0)</f>
        <v>6</v>
      </c>
      <c r="L17" s="39"/>
      <c r="M17" s="39"/>
      <c r="N17" s="39"/>
      <c r="O17" s="39"/>
    </row>
    <row r="18" spans="1:15" s="2" customFormat="1" ht="23.25" customHeight="1" x14ac:dyDescent="0.3">
      <c r="A18" s="84" t="s">
        <v>161</v>
      </c>
      <c r="B18" s="120"/>
      <c r="C18" s="120"/>
      <c r="D18" s="120"/>
      <c r="E18" s="86"/>
      <c r="F18" s="87"/>
      <c r="G18" s="120"/>
      <c r="H18" s="173">
        <f t="shared" ref="H18" si="4">ROUND(SUM(G19:G20),-3)</f>
        <v>110000</v>
      </c>
      <c r="I18" s="74"/>
      <c r="J18" s="62" t="str">
        <f t="shared" si="3"/>
        <v>C002</v>
      </c>
      <c r="K18" s="39" t="e">
        <f>VLOOKUP(J16,'so nguoi'!$A$8:$B$21,2,0)</f>
        <v>#N/A</v>
      </c>
      <c r="L18" s="62"/>
      <c r="M18" s="62"/>
      <c r="N18" s="62"/>
      <c r="O18" s="62"/>
    </row>
    <row r="19" spans="1:15" ht="16.5" x14ac:dyDescent="0.25">
      <c r="A19" s="112" t="s">
        <v>5</v>
      </c>
      <c r="B19" s="112">
        <v>3107</v>
      </c>
      <c r="C19" s="112">
        <v>3117</v>
      </c>
      <c r="D19" s="182">
        <f>VLOOKUP(RIGHT(LEFT(A18,11),4),'so nguoi'!$A$8:$B$21,2,0)</f>
        <v>2</v>
      </c>
      <c r="E19" s="25">
        <f>C19-B19</f>
        <v>10</v>
      </c>
      <c r="F19" s="26">
        <f>E19</f>
        <v>10</v>
      </c>
      <c r="G19" s="77">
        <f>ROUND(F19*$L$1,-3)</f>
        <v>29000</v>
      </c>
      <c r="H19" s="174"/>
      <c r="I19" s="44"/>
      <c r="J19" s="62" t="str">
        <f t="shared" si="3"/>
        <v>Điện</v>
      </c>
      <c r="K19" s="39" t="e">
        <f>VLOOKUP(J17,'so nguoi'!$A$8:$B$21,2,0)</f>
        <v>#N/A</v>
      </c>
      <c r="L19" s="39"/>
      <c r="M19" s="39"/>
      <c r="N19" s="39"/>
      <c r="O19" s="39"/>
    </row>
    <row r="20" spans="1:15" ht="16.5" x14ac:dyDescent="0.25">
      <c r="A20" s="110" t="s">
        <v>6</v>
      </c>
      <c r="B20" s="110">
        <v>1266</v>
      </c>
      <c r="C20" s="110">
        <v>1284</v>
      </c>
      <c r="D20" s="182"/>
      <c r="E20" s="111">
        <f>C20-B20</f>
        <v>18</v>
      </c>
      <c r="F20" s="22">
        <f>IF(D19=0,0,(E20/(D19+D22)*D19))</f>
        <v>4.5</v>
      </c>
      <c r="G20" s="119">
        <f>ROUND(F20*$L$2,-3)</f>
        <v>81000</v>
      </c>
      <c r="H20" s="175"/>
      <c r="I20" s="44"/>
      <c r="J20" s="62" t="str">
        <f t="shared" si="3"/>
        <v>Nước</v>
      </c>
      <c r="K20" s="39">
        <f>VLOOKUP(J18,'so nguoi'!$A$8:$B$21,2,0)</f>
        <v>7</v>
      </c>
      <c r="L20" s="39"/>
      <c r="M20" s="39"/>
      <c r="N20" s="39"/>
      <c r="O20" s="39"/>
    </row>
    <row r="21" spans="1:15" s="2" customFormat="1" ht="23.25" customHeight="1" x14ac:dyDescent="0.3">
      <c r="A21" s="84" t="s">
        <v>162</v>
      </c>
      <c r="B21" s="120"/>
      <c r="C21" s="120"/>
      <c r="D21" s="120"/>
      <c r="E21" s="86"/>
      <c r="F21" s="87"/>
      <c r="G21" s="120"/>
      <c r="H21" s="173">
        <f t="shared" ref="H21" si="5">ROUND(SUM(G22:G23),-3)</f>
        <v>466000</v>
      </c>
      <c r="I21" s="74"/>
      <c r="J21" s="62" t="str">
        <f t="shared" si="3"/>
        <v>C003</v>
      </c>
      <c r="K21" s="39" t="e">
        <f>VLOOKUP(J19,'so nguoi'!$A$8:$B$21,2,0)</f>
        <v>#N/A</v>
      </c>
      <c r="L21" s="62"/>
      <c r="M21" s="62"/>
      <c r="N21" s="62"/>
      <c r="O21" s="62"/>
    </row>
    <row r="22" spans="1:15" ht="16.5" x14ac:dyDescent="0.25">
      <c r="A22" s="112" t="s">
        <v>5</v>
      </c>
      <c r="B22" s="112">
        <v>2971</v>
      </c>
      <c r="C22" s="112">
        <v>3048</v>
      </c>
      <c r="D22" s="182">
        <f>VLOOKUP(RIGHT(LEFT(A21,11),4),'so nguoi'!$A$8:$B$21,2,0)</f>
        <v>6</v>
      </c>
      <c r="E22" s="25">
        <f>C22-B22</f>
        <v>77</v>
      </c>
      <c r="F22" s="26">
        <f>E22</f>
        <v>77</v>
      </c>
      <c r="G22" s="77">
        <f>ROUND(F22*$L$1,-3)</f>
        <v>223000</v>
      </c>
      <c r="H22" s="174"/>
      <c r="I22" s="44"/>
      <c r="J22" s="62" t="str">
        <f t="shared" si="3"/>
        <v>Điện</v>
      </c>
      <c r="K22" s="39" t="e">
        <f>VLOOKUP(J20,'so nguoi'!$A$8:$B$21,2,0)</f>
        <v>#N/A</v>
      </c>
      <c r="L22" s="39"/>
      <c r="M22" s="39"/>
      <c r="N22" s="39"/>
      <c r="O22" s="39"/>
    </row>
    <row r="23" spans="1:15" ht="16.5" x14ac:dyDescent="0.25">
      <c r="A23" s="110" t="s">
        <v>6</v>
      </c>
      <c r="B23" s="110">
        <f>B20</f>
        <v>1266</v>
      </c>
      <c r="C23" s="110">
        <f>C20</f>
        <v>1284</v>
      </c>
      <c r="D23" s="182"/>
      <c r="E23" s="111">
        <f>C23-B23</f>
        <v>18</v>
      </c>
      <c r="F23" s="22">
        <f>IF(D22=0,0,(E23/(D22+D19)*D22))</f>
        <v>13.5</v>
      </c>
      <c r="G23" s="119">
        <f>ROUND(F23*$L$2,-3)</f>
        <v>243000</v>
      </c>
      <c r="H23" s="175"/>
      <c r="I23" s="44"/>
      <c r="J23" s="62" t="str">
        <f t="shared" si="3"/>
        <v>Nước</v>
      </c>
      <c r="K23" s="39">
        <f>VLOOKUP(J21,'so nguoi'!$A$8:$B$21,2,0)</f>
        <v>3</v>
      </c>
      <c r="L23" s="39"/>
      <c r="M23" s="39"/>
      <c r="N23" s="39"/>
      <c r="O23" s="39"/>
    </row>
    <row r="24" spans="1:15" s="2" customFormat="1" ht="23.25" customHeight="1" x14ac:dyDescent="0.3">
      <c r="A24" s="84" t="s">
        <v>163</v>
      </c>
      <c r="B24" s="120"/>
      <c r="C24" s="120"/>
      <c r="D24" s="120"/>
      <c r="E24" s="86"/>
      <c r="F24" s="87"/>
      <c r="G24" s="120"/>
      <c r="H24" s="173">
        <f t="shared" ref="H24" si="6">ROUND(SUM(G25:G26),-3)</f>
        <v>660000</v>
      </c>
      <c r="I24" s="74"/>
      <c r="J24" s="62" t="str">
        <f t="shared" si="3"/>
        <v>C004</v>
      </c>
      <c r="K24" s="39" t="e">
        <f>VLOOKUP(J22,'so nguoi'!$A$8:$B$21,2,0)</f>
        <v>#N/A</v>
      </c>
      <c r="L24" s="62"/>
      <c r="M24" s="62"/>
      <c r="N24" s="62"/>
      <c r="O24" s="62"/>
    </row>
    <row r="25" spans="1:15" ht="16.5" x14ac:dyDescent="0.25">
      <c r="A25" s="112" t="s">
        <v>5</v>
      </c>
      <c r="B25" s="112">
        <v>5062</v>
      </c>
      <c r="C25" s="112">
        <v>5154</v>
      </c>
      <c r="D25" s="182">
        <f>VLOOKUP(RIGHT(LEFT(A24,11),4),'so nguoi'!$A$8:$B$21,2,0)</f>
        <v>6</v>
      </c>
      <c r="E25" s="25">
        <f>C25-B25</f>
        <v>92</v>
      </c>
      <c r="F25" s="26">
        <f>E25</f>
        <v>92</v>
      </c>
      <c r="G25" s="77">
        <f>ROUND(F25*$L$1,-3)</f>
        <v>267000</v>
      </c>
      <c r="H25" s="174"/>
      <c r="I25" s="44"/>
      <c r="J25" s="62" t="str">
        <f t="shared" si="3"/>
        <v>Điện</v>
      </c>
      <c r="K25" s="39" t="e">
        <f>VLOOKUP(J23,'so nguoi'!$A$8:$B$21,2,0)</f>
        <v>#N/A</v>
      </c>
      <c r="L25" s="39"/>
      <c r="M25" s="39"/>
      <c r="N25" s="39"/>
      <c r="O25" s="39"/>
    </row>
    <row r="26" spans="1:15" ht="16.5" x14ac:dyDescent="0.25">
      <c r="A26" s="110" t="s">
        <v>6</v>
      </c>
      <c r="B26" s="110">
        <v>1885</v>
      </c>
      <c r="C26" s="110">
        <v>1925</v>
      </c>
      <c r="D26" s="182"/>
      <c r="E26" s="111">
        <f>C26-B26</f>
        <v>40</v>
      </c>
      <c r="F26" s="22">
        <f>IF(D25=0,0,(E26/(D25+D28)*D25))</f>
        <v>21.818181818181817</v>
      </c>
      <c r="G26" s="119">
        <f>ROUND(F26*$L$2,-3)</f>
        <v>393000</v>
      </c>
      <c r="H26" s="175"/>
      <c r="I26" s="44"/>
      <c r="J26" s="62" t="str">
        <f t="shared" si="3"/>
        <v>Nước</v>
      </c>
      <c r="K26" s="39">
        <f>VLOOKUP(J24,'so nguoi'!$A$8:$B$21,2,0)</f>
        <v>2</v>
      </c>
      <c r="L26" s="39"/>
      <c r="M26" s="39"/>
      <c r="N26" s="39"/>
      <c r="O26" s="39"/>
    </row>
    <row r="27" spans="1:15" s="2" customFormat="1" ht="23.25" customHeight="1" x14ac:dyDescent="0.3">
      <c r="A27" s="84" t="s">
        <v>164</v>
      </c>
      <c r="B27" s="120"/>
      <c r="C27" s="120"/>
      <c r="D27" s="120"/>
      <c r="E27" s="86"/>
      <c r="F27" s="87"/>
      <c r="G27" s="120"/>
      <c r="H27" s="173">
        <f t="shared" ref="H27" si="7">ROUND(SUM(G28:G29),-3)</f>
        <v>594000</v>
      </c>
      <c r="I27" s="74"/>
      <c r="J27" s="62" t="str">
        <f t="shared" si="3"/>
        <v>C005</v>
      </c>
      <c r="K27" s="39" t="e">
        <f>VLOOKUP(J25,'so nguoi'!$A$8:$B$21,2,0)</f>
        <v>#N/A</v>
      </c>
      <c r="L27" s="62"/>
      <c r="M27" s="62"/>
      <c r="N27" s="62"/>
      <c r="O27" s="62"/>
    </row>
    <row r="28" spans="1:15" ht="16.5" x14ac:dyDescent="0.25">
      <c r="A28" s="110" t="s">
        <v>5</v>
      </c>
      <c r="B28" s="110">
        <v>3962</v>
      </c>
      <c r="C28" s="110">
        <v>4054</v>
      </c>
      <c r="D28" s="182">
        <f>VLOOKUP(RIGHT(LEFT(A27,11),4),'so nguoi'!$A$8:$B$21,2,0)</f>
        <v>5</v>
      </c>
      <c r="E28" s="25">
        <f>C28-B28</f>
        <v>92</v>
      </c>
      <c r="F28" s="26">
        <f>E28</f>
        <v>92</v>
      </c>
      <c r="G28" s="77">
        <f>ROUND(F28*$L$1,-3)</f>
        <v>267000</v>
      </c>
      <c r="H28" s="174"/>
      <c r="I28" s="44"/>
      <c r="J28" s="62" t="str">
        <f t="shared" si="3"/>
        <v>Điện</v>
      </c>
      <c r="K28" s="39" t="e">
        <f>VLOOKUP(J26,'so nguoi'!$A$8:$B$21,2,0)</f>
        <v>#N/A</v>
      </c>
      <c r="L28" s="39"/>
      <c r="M28" s="39"/>
      <c r="N28" s="39"/>
      <c r="O28" s="39"/>
    </row>
    <row r="29" spans="1:15" ht="16.5" x14ac:dyDescent="0.25">
      <c r="A29" s="110" t="s">
        <v>6</v>
      </c>
      <c r="B29" s="110">
        <f>B26</f>
        <v>1885</v>
      </c>
      <c r="C29" s="110">
        <f>C26</f>
        <v>1925</v>
      </c>
      <c r="D29" s="182"/>
      <c r="E29" s="111">
        <f>C29-B29</f>
        <v>40</v>
      </c>
      <c r="F29" s="22">
        <f>IF(D28=0,0,(E29/(D28+D25)*D28))</f>
        <v>18.18181818181818</v>
      </c>
      <c r="G29" s="119">
        <f>ROUND(F29*$L$2,-3)</f>
        <v>327000</v>
      </c>
      <c r="H29" s="175"/>
      <c r="I29" s="44"/>
      <c r="J29" s="62" t="str">
        <f t="shared" si="3"/>
        <v>Nước</v>
      </c>
      <c r="K29" s="39">
        <f>VLOOKUP(J27,'so nguoi'!$A$8:$B$21,2,0)</f>
        <v>6</v>
      </c>
      <c r="L29" s="39"/>
      <c r="M29" s="39"/>
      <c r="N29" s="39"/>
      <c r="O29" s="39"/>
    </row>
    <row r="30" spans="1:15" s="2" customFormat="1" ht="23.25" customHeight="1" x14ac:dyDescent="0.3">
      <c r="A30" s="84" t="s">
        <v>165</v>
      </c>
      <c r="B30" s="120"/>
      <c r="C30" s="120"/>
      <c r="D30" s="120"/>
      <c r="E30" s="86"/>
      <c r="F30" s="87"/>
      <c r="G30" s="120"/>
      <c r="H30" s="173">
        <f t="shared" ref="H30" si="8">ROUND(SUM(G31:G32),-3)</f>
        <v>244000</v>
      </c>
      <c r="I30" s="74"/>
      <c r="J30" s="62" t="str">
        <f t="shared" si="3"/>
        <v>C006</v>
      </c>
      <c r="K30" s="39" t="e">
        <f>VLOOKUP(J28,'so nguoi'!$A$8:$B$21,2,0)</f>
        <v>#N/A</v>
      </c>
      <c r="L30" s="62"/>
      <c r="M30" s="62"/>
      <c r="N30" s="62"/>
      <c r="O30" s="62"/>
    </row>
    <row r="31" spans="1:15" s="23" customFormat="1" ht="16.5" x14ac:dyDescent="0.25">
      <c r="A31" s="110" t="s">
        <v>5</v>
      </c>
      <c r="B31" s="103">
        <v>12912</v>
      </c>
      <c r="C31" s="103">
        <v>12965</v>
      </c>
      <c r="D31" s="182">
        <f>VLOOKUP(RIGHT(LEFT(A30,11),4),'so nguoi'!$A$8:$B$21,2,0)</f>
        <v>3</v>
      </c>
      <c r="E31" s="25">
        <f>C31-B31</f>
        <v>53</v>
      </c>
      <c r="F31" s="26">
        <f>E31</f>
        <v>53</v>
      </c>
      <c r="G31" s="77">
        <f>ROUND(F31*$L$1,-3)</f>
        <v>154000</v>
      </c>
      <c r="H31" s="174"/>
      <c r="I31" s="79"/>
      <c r="J31" s="80" t="str">
        <f>RIGHT(LEFT(A25,11),4)</f>
        <v>Điện</v>
      </c>
      <c r="K31" s="81" t="e">
        <f>VLOOKUP(J29,'so nguoi'!$A$8:$B$21,2,0)</f>
        <v>#N/A</v>
      </c>
      <c r="L31" s="81"/>
      <c r="M31" s="81"/>
      <c r="N31" s="81"/>
      <c r="O31" s="81"/>
    </row>
    <row r="32" spans="1:15" s="23" customFormat="1" ht="16.5" x14ac:dyDescent="0.25">
      <c r="A32" s="110" t="s">
        <v>6</v>
      </c>
      <c r="B32" s="110">
        <v>1403</v>
      </c>
      <c r="C32" s="132">
        <v>1408</v>
      </c>
      <c r="D32" s="182"/>
      <c r="E32" s="111">
        <f>C32-B32</f>
        <v>5</v>
      </c>
      <c r="F32" s="22">
        <f>E32</f>
        <v>5</v>
      </c>
      <c r="G32" s="119">
        <f>ROUND(F32*$L$2,-3)</f>
        <v>90000</v>
      </c>
      <c r="H32" s="175"/>
      <c r="I32" s="79"/>
      <c r="J32" s="80" t="str">
        <f t="shared" si="3"/>
        <v>Nước</v>
      </c>
      <c r="K32" s="81"/>
      <c r="L32" s="81"/>
      <c r="M32" s="81"/>
      <c r="N32" s="81"/>
      <c r="O32" s="81"/>
    </row>
    <row r="33" spans="1:15" s="2" customFormat="1" ht="23.25" customHeight="1" x14ac:dyDescent="0.3">
      <c r="A33" s="84" t="s">
        <v>166</v>
      </c>
      <c r="B33" s="120"/>
      <c r="C33" s="120"/>
      <c r="D33" s="120"/>
      <c r="E33" s="86"/>
      <c r="F33" s="87"/>
      <c r="G33" s="120"/>
      <c r="H33" s="173">
        <f t="shared" ref="H33" si="9">ROUND(SUM(G34:G35),-3)</f>
        <v>347000</v>
      </c>
      <c r="I33" s="74"/>
      <c r="J33" s="62"/>
      <c r="K33" s="62"/>
      <c r="L33" s="62"/>
      <c r="M33" s="62"/>
      <c r="N33" s="62"/>
      <c r="O33" s="62"/>
    </row>
    <row r="34" spans="1:15" ht="16.5" x14ac:dyDescent="0.25">
      <c r="A34" s="112" t="s">
        <v>5</v>
      </c>
      <c r="B34" s="112">
        <v>3121</v>
      </c>
      <c r="C34" s="112">
        <v>3175</v>
      </c>
      <c r="D34" s="182">
        <f>VLOOKUP(RIGHT(LEFT(A33,11),4),'so nguoi'!$A$8:$B$21,2,0)</f>
        <v>5</v>
      </c>
      <c r="E34" s="25">
        <f>C34-B34</f>
        <v>54</v>
      </c>
      <c r="F34" s="26">
        <f>E34</f>
        <v>54</v>
      </c>
      <c r="G34" s="77">
        <f>ROUND(F34*$L$1,-3)</f>
        <v>157000</v>
      </c>
      <c r="H34" s="174"/>
      <c r="I34" s="44"/>
      <c r="J34" s="39"/>
      <c r="K34" s="39"/>
      <c r="L34" s="39"/>
      <c r="M34" s="39"/>
      <c r="N34" s="39"/>
      <c r="O34" s="39"/>
    </row>
    <row r="35" spans="1:15" ht="16.5" x14ac:dyDescent="0.25">
      <c r="A35" s="110" t="s">
        <v>6</v>
      </c>
      <c r="B35" s="110">
        <v>1388</v>
      </c>
      <c r="C35" s="132">
        <v>1407</v>
      </c>
      <c r="D35" s="182"/>
      <c r="E35" s="111">
        <f>C35-B35</f>
        <v>19</v>
      </c>
      <c r="F35" s="22">
        <f>IF(D34=0,0,(E35/(D34+D37)*D34))</f>
        <v>10.555555555555555</v>
      </c>
      <c r="G35" s="119">
        <f>ROUND(F35*$L$2,-3)</f>
        <v>190000</v>
      </c>
      <c r="H35" s="175"/>
      <c r="I35" s="44"/>
      <c r="J35" s="39"/>
      <c r="K35" s="39"/>
      <c r="L35" s="39"/>
      <c r="M35" s="39"/>
      <c r="N35" s="39"/>
      <c r="O35" s="39"/>
    </row>
    <row r="36" spans="1:15" s="2" customFormat="1" ht="23.25" customHeight="1" x14ac:dyDescent="0.3">
      <c r="A36" s="84" t="s">
        <v>167</v>
      </c>
      <c r="B36" s="120"/>
      <c r="C36" s="120"/>
      <c r="D36" s="120"/>
      <c r="E36" s="86"/>
      <c r="F36" s="87"/>
      <c r="G36" s="120"/>
      <c r="H36" s="173">
        <f t="shared" ref="H36" si="10">ROUND(SUM(G37:G38),-3)</f>
        <v>364000</v>
      </c>
      <c r="I36" s="74"/>
      <c r="J36" s="62"/>
      <c r="K36" s="62"/>
      <c r="L36" s="62"/>
      <c r="M36" s="62"/>
      <c r="N36" s="62"/>
      <c r="O36" s="62"/>
    </row>
    <row r="37" spans="1:15" ht="16.5" x14ac:dyDescent="0.25">
      <c r="A37" s="112" t="s">
        <v>5</v>
      </c>
      <c r="B37" s="112">
        <v>4020</v>
      </c>
      <c r="C37" s="112">
        <v>4093</v>
      </c>
      <c r="D37" s="186">
        <f>VLOOKUP(RIGHT(LEFT(A36,11),4),'so nguoi'!$A$8:$B$21,2,0)</f>
        <v>4</v>
      </c>
      <c r="E37" s="25">
        <f>C37-B37</f>
        <v>73</v>
      </c>
      <c r="F37" s="26">
        <f>E37</f>
        <v>73</v>
      </c>
      <c r="G37" s="77">
        <f>ROUND(F37*$L$1,-3)</f>
        <v>212000</v>
      </c>
      <c r="H37" s="174"/>
      <c r="I37" s="44"/>
      <c r="J37" s="39"/>
      <c r="K37" s="39"/>
      <c r="L37" s="39"/>
      <c r="M37" s="39"/>
      <c r="N37" s="39"/>
      <c r="O37" s="39"/>
    </row>
    <row r="38" spans="1:15" ht="16.5" x14ac:dyDescent="0.25">
      <c r="A38" s="110" t="s">
        <v>6</v>
      </c>
      <c r="B38" s="110">
        <f>B35</f>
        <v>1388</v>
      </c>
      <c r="C38" s="110">
        <f>C35</f>
        <v>1407</v>
      </c>
      <c r="D38" s="186"/>
      <c r="E38" s="111">
        <f>C38-B38</f>
        <v>19</v>
      </c>
      <c r="F38" s="22">
        <f>IF(D37=0,0,(E38/(D37+D34)*D37))</f>
        <v>8.4444444444444446</v>
      </c>
      <c r="G38" s="119">
        <f>ROUND(F38*$L$2,-3)</f>
        <v>152000</v>
      </c>
      <c r="H38" s="175"/>
      <c r="I38" s="44"/>
      <c r="J38" s="39"/>
      <c r="K38" s="39"/>
      <c r="L38" s="39"/>
      <c r="M38" s="39"/>
      <c r="N38" s="39"/>
      <c r="O38" s="39"/>
    </row>
    <row r="39" spans="1:15" s="2" customFormat="1" ht="23.25" customHeight="1" x14ac:dyDescent="0.3">
      <c r="A39" s="84" t="s">
        <v>168</v>
      </c>
      <c r="B39" s="120"/>
      <c r="C39" s="120"/>
      <c r="D39" s="120"/>
      <c r="E39" s="86"/>
      <c r="F39" s="87"/>
      <c r="G39" s="120"/>
      <c r="H39" s="173">
        <f t="shared" ref="H39" si="11">ROUND(SUM(G40:G41),-3)</f>
        <v>0</v>
      </c>
      <c r="I39" s="74"/>
      <c r="J39" s="62"/>
      <c r="K39" s="62"/>
      <c r="L39" s="62"/>
      <c r="M39" s="62"/>
      <c r="N39" s="62"/>
      <c r="O39" s="62"/>
    </row>
    <row r="40" spans="1:15" ht="16.5" x14ac:dyDescent="0.25">
      <c r="A40" s="112" t="s">
        <v>5</v>
      </c>
      <c r="B40" s="112">
        <v>8017</v>
      </c>
      <c r="C40" s="112">
        <v>8017</v>
      </c>
      <c r="D40" s="182">
        <f>VLOOKUP(RIGHT(LEFT(A39,11),4),'so nguoi'!$A$8:$B$21,2,0)</f>
        <v>0</v>
      </c>
      <c r="E40" s="25">
        <f>C40-B40</f>
        <v>0</v>
      </c>
      <c r="F40" s="26">
        <f>E40</f>
        <v>0</v>
      </c>
      <c r="G40" s="77">
        <f>ROUND(F40*$L$1,-3)</f>
        <v>0</v>
      </c>
      <c r="H40" s="174"/>
      <c r="I40" s="44"/>
      <c r="J40" s="39"/>
      <c r="K40" s="39"/>
      <c r="L40" s="39"/>
      <c r="M40" s="39"/>
      <c r="N40" s="39"/>
      <c r="O40" s="39"/>
    </row>
    <row r="41" spans="1:15" ht="16.5" x14ac:dyDescent="0.25">
      <c r="A41" s="110" t="s">
        <v>6</v>
      </c>
      <c r="B41" s="132">
        <v>1637</v>
      </c>
      <c r="C41" s="132">
        <v>1637</v>
      </c>
      <c r="D41" s="182"/>
      <c r="E41" s="111">
        <f>C41-B41</f>
        <v>0</v>
      </c>
      <c r="F41" s="22">
        <f>IF(D40=0,0,(E41/(D40+D43)*D40))</f>
        <v>0</v>
      </c>
      <c r="G41" s="119">
        <f>ROUND(F41*$L$2,-3)</f>
        <v>0</v>
      </c>
      <c r="H41" s="175"/>
      <c r="I41" s="44"/>
      <c r="J41" s="39"/>
      <c r="K41" s="39"/>
      <c r="L41" s="39"/>
      <c r="M41" s="39"/>
      <c r="N41" s="39"/>
      <c r="O41" s="39"/>
    </row>
    <row r="42" spans="1:15" s="2" customFormat="1" ht="23.25" customHeight="1" x14ac:dyDescent="0.3">
      <c r="A42" s="84" t="s">
        <v>169</v>
      </c>
      <c r="B42" s="120"/>
      <c r="C42" s="120"/>
      <c r="D42" s="120"/>
      <c r="E42" s="86"/>
      <c r="F42" s="87"/>
      <c r="G42" s="120"/>
      <c r="H42" s="173">
        <f t="shared" ref="H42" si="12">ROUND(SUM(G43:G44),-3)</f>
        <v>0</v>
      </c>
      <c r="I42" s="74"/>
      <c r="J42" s="62"/>
      <c r="K42" s="62"/>
      <c r="L42" s="62"/>
      <c r="M42" s="62"/>
      <c r="N42" s="62"/>
      <c r="O42" s="62"/>
    </row>
    <row r="43" spans="1:15" ht="16.5" x14ac:dyDescent="0.25">
      <c r="A43" s="112" t="s">
        <v>5</v>
      </c>
      <c r="B43" s="112">
        <v>4531</v>
      </c>
      <c r="C43" s="112">
        <v>4531</v>
      </c>
      <c r="D43" s="182">
        <f>VLOOKUP(RIGHT(LEFT(A42,11),4),'so nguoi'!$A$8:$B$21,2,0)</f>
        <v>0</v>
      </c>
      <c r="E43" s="25">
        <f>C43-B43</f>
        <v>0</v>
      </c>
      <c r="F43" s="26">
        <f>E43</f>
        <v>0</v>
      </c>
      <c r="G43" s="77">
        <f>ROUND(F43*$L$1,-3)</f>
        <v>0</v>
      </c>
      <c r="H43" s="174"/>
      <c r="I43" s="44"/>
      <c r="J43" s="39"/>
      <c r="K43" s="39"/>
      <c r="L43" s="39"/>
      <c r="M43" s="39"/>
      <c r="N43" s="39"/>
      <c r="O43" s="39"/>
    </row>
    <row r="44" spans="1:15" ht="16.5" x14ac:dyDescent="0.25">
      <c r="A44" s="110" t="s">
        <v>6</v>
      </c>
      <c r="B44" s="110">
        <f>B41</f>
        <v>1637</v>
      </c>
      <c r="C44" s="110">
        <f>C41</f>
        <v>1637</v>
      </c>
      <c r="D44" s="182"/>
      <c r="E44" s="111">
        <f>C44-B44</f>
        <v>0</v>
      </c>
      <c r="F44" s="22">
        <f>IF(D43=0,0,(E44/(D43+D40)*D43))</f>
        <v>0</v>
      </c>
      <c r="G44" s="119">
        <f>ROUND(F44*$L$2,-3)</f>
        <v>0</v>
      </c>
      <c r="H44" s="175"/>
      <c r="I44" s="44"/>
      <c r="J44" s="39"/>
      <c r="K44" s="39"/>
      <c r="L44" s="39"/>
      <c r="M44" s="39"/>
      <c r="N44" s="39"/>
      <c r="O44" s="39"/>
    </row>
    <row r="45" spans="1:15" s="2" customFormat="1" ht="23.25" customHeight="1" x14ac:dyDescent="0.3">
      <c r="A45" s="84" t="s">
        <v>170</v>
      </c>
      <c r="B45" s="120"/>
      <c r="C45" s="120"/>
      <c r="D45" s="120"/>
      <c r="E45" s="86"/>
      <c r="F45" s="87"/>
      <c r="G45" s="120"/>
      <c r="H45" s="173">
        <f t="shared" ref="H45" si="13">ROUND(SUM(G46:G47),-3)</f>
        <v>347000</v>
      </c>
      <c r="I45" s="74"/>
      <c r="J45" s="62" t="s">
        <v>35</v>
      </c>
      <c r="K45" s="62">
        <v>215</v>
      </c>
      <c r="L45" s="62">
        <v>298</v>
      </c>
      <c r="M45" s="62">
        <f t="shared" ref="M45:M46" si="14">L45-K45</f>
        <v>83</v>
      </c>
      <c r="N45" s="62">
        <f>SUM('so nguoi'!L42:L47)</f>
        <v>0</v>
      </c>
      <c r="O45" s="62" t="e">
        <f t="shared" ref="O45:O46" si="15">M45/N45</f>
        <v>#DIV/0!</v>
      </c>
    </row>
    <row r="46" spans="1:15" ht="16.5" x14ac:dyDescent="0.25">
      <c r="A46" s="112" t="s">
        <v>5</v>
      </c>
      <c r="B46" s="112">
        <v>4216</v>
      </c>
      <c r="C46" s="112">
        <v>4253</v>
      </c>
      <c r="D46" s="182">
        <f>VLOOKUP(RIGHT(LEFT(A45,11),4),'so nguoi'!$C$8:$N$21,2,0)</f>
        <v>4</v>
      </c>
      <c r="E46" s="25">
        <f>C46-B46</f>
        <v>37</v>
      </c>
      <c r="F46" s="26">
        <f>E46</f>
        <v>37</v>
      </c>
      <c r="G46" s="77">
        <f>ROUND(F46*$L$1,-3)</f>
        <v>107000</v>
      </c>
      <c r="H46" s="174"/>
      <c r="I46" s="44"/>
      <c r="J46" s="39" t="s">
        <v>36</v>
      </c>
      <c r="K46" s="39">
        <v>229</v>
      </c>
      <c r="L46" s="39">
        <v>307</v>
      </c>
      <c r="M46" s="39">
        <f t="shared" si="14"/>
        <v>78</v>
      </c>
      <c r="N46" s="39">
        <f>SUM('so nguoi'!L48:L52)</f>
        <v>0</v>
      </c>
      <c r="O46" s="39" t="e">
        <f t="shared" si="15"/>
        <v>#DIV/0!</v>
      </c>
    </row>
    <row r="47" spans="1:15" ht="16.5" x14ac:dyDescent="0.25">
      <c r="A47" s="110" t="s">
        <v>6</v>
      </c>
      <c r="B47" s="132">
        <v>6023</v>
      </c>
      <c r="C47" s="132">
        <v>6053</v>
      </c>
      <c r="D47" s="182"/>
      <c r="E47" s="111">
        <f>C47-B47</f>
        <v>30</v>
      </c>
      <c r="F47" s="22">
        <f>IF(D46=0,0,(E47/(D46+D49)*D46))</f>
        <v>13.333333333333334</v>
      </c>
      <c r="G47" s="119">
        <f>ROUND(F47*$L$2,-3)</f>
        <v>240000</v>
      </c>
      <c r="H47" s="175"/>
      <c r="I47" s="44"/>
      <c r="J47" s="39"/>
      <c r="K47" s="39"/>
      <c r="L47" s="39"/>
      <c r="M47" s="39"/>
      <c r="N47" s="39"/>
      <c r="O47" s="39"/>
    </row>
    <row r="48" spans="1:15" s="2" customFormat="1" ht="23.25" customHeight="1" x14ac:dyDescent="0.3">
      <c r="A48" s="84" t="s">
        <v>171</v>
      </c>
      <c r="B48" s="120"/>
      <c r="C48" s="120"/>
      <c r="D48" s="120"/>
      <c r="E48" s="86"/>
      <c r="F48" s="87"/>
      <c r="G48" s="120"/>
      <c r="H48" s="173">
        <f t="shared" ref="H48" si="16">ROUND(SUM(G49:G50),-3)</f>
        <v>616000</v>
      </c>
      <c r="I48" s="74"/>
      <c r="J48" s="62"/>
      <c r="K48" s="62"/>
      <c r="L48" s="62"/>
      <c r="M48" s="62"/>
      <c r="N48" s="62"/>
      <c r="O48" s="62"/>
    </row>
    <row r="49" spans="1:15" ht="16.5" x14ac:dyDescent="0.25">
      <c r="A49" s="112" t="s">
        <v>5</v>
      </c>
      <c r="B49" s="131">
        <v>4045</v>
      </c>
      <c r="C49" s="168">
        <v>4154</v>
      </c>
      <c r="D49" s="182">
        <f>VLOOKUP(RIGHT(LEFT(A48,11),4),'so nguoi'!$C$8:$N$21,2,0)</f>
        <v>5</v>
      </c>
      <c r="E49" s="25">
        <f>C49-B49</f>
        <v>109</v>
      </c>
      <c r="F49" s="26">
        <f>E49</f>
        <v>109</v>
      </c>
      <c r="G49" s="77">
        <f>ROUND(F49*$L$1,-3)</f>
        <v>316000</v>
      </c>
      <c r="H49" s="174"/>
      <c r="I49" s="44"/>
      <c r="J49" s="62" t="str">
        <f t="shared" ref="J49:J61" si="17">RIGHT(LEFT(A43,11),4)</f>
        <v>Điện</v>
      </c>
      <c r="K49" s="39"/>
      <c r="L49" s="39"/>
      <c r="M49" s="39"/>
      <c r="N49" s="39"/>
      <c r="O49" s="39"/>
    </row>
    <row r="50" spans="1:15" ht="16.5" x14ac:dyDescent="0.25">
      <c r="A50" s="110" t="s">
        <v>6</v>
      </c>
      <c r="B50" s="110">
        <f>B47</f>
        <v>6023</v>
      </c>
      <c r="C50" s="110">
        <f>C47</f>
        <v>6053</v>
      </c>
      <c r="D50" s="182"/>
      <c r="E50" s="111">
        <f>C50-B50</f>
        <v>30</v>
      </c>
      <c r="F50" s="22">
        <f>IF(D49=0,0,(E50/(D49+D46)*D49))</f>
        <v>16.666666666666668</v>
      </c>
      <c r="G50" s="119">
        <f>ROUND(F50*$L$2,-3)</f>
        <v>300000</v>
      </c>
      <c r="H50" s="175"/>
      <c r="I50" s="44"/>
      <c r="J50" s="62" t="str">
        <f t="shared" si="17"/>
        <v>Nước</v>
      </c>
      <c r="K50" s="39"/>
      <c r="L50" s="39"/>
      <c r="M50" s="39"/>
      <c r="N50" s="39"/>
      <c r="O50" s="39"/>
    </row>
    <row r="51" spans="1:15" s="2" customFormat="1" ht="23.25" customHeight="1" x14ac:dyDescent="0.3">
      <c r="A51" s="84" t="s">
        <v>172</v>
      </c>
      <c r="B51" s="120"/>
      <c r="C51" s="120"/>
      <c r="D51" s="120"/>
      <c r="E51" s="86"/>
      <c r="F51" s="87"/>
      <c r="G51" s="120"/>
      <c r="H51" s="173">
        <f t="shared" ref="H51" si="18">ROUND(SUM(G52:G53),-3)</f>
        <v>638000</v>
      </c>
      <c r="I51" s="74"/>
      <c r="J51" s="62" t="str">
        <f>RIGHT(LEFT(A45,11),4)</f>
        <v>C101</v>
      </c>
      <c r="K51" s="62"/>
      <c r="L51" s="62"/>
      <c r="M51" s="62"/>
      <c r="N51" s="62"/>
      <c r="O51" s="62"/>
    </row>
    <row r="52" spans="1:15" ht="16.5" x14ac:dyDescent="0.25">
      <c r="A52" s="112" t="s">
        <v>5</v>
      </c>
      <c r="B52" s="112">
        <v>2838</v>
      </c>
      <c r="C52" s="168">
        <v>2971</v>
      </c>
      <c r="D52" s="186">
        <f>VLOOKUP(RIGHT(LEFT(A51,11),4),'so nguoi'!$C$8:$N$21,2,0)</f>
        <v>6</v>
      </c>
      <c r="E52" s="25">
        <f>C52-B52</f>
        <v>133</v>
      </c>
      <c r="F52" s="26">
        <f>E52</f>
        <v>133</v>
      </c>
      <c r="G52" s="77">
        <f>ROUND(F52*$L$1,-3)</f>
        <v>386000</v>
      </c>
      <c r="H52" s="174"/>
      <c r="I52" s="44"/>
      <c r="J52" s="62" t="str">
        <f t="shared" si="17"/>
        <v>Điện</v>
      </c>
      <c r="K52" s="39"/>
      <c r="L52" s="39">
        <f>871-789</f>
        <v>82</v>
      </c>
      <c r="M52" s="39"/>
      <c r="N52" s="39"/>
      <c r="O52" s="39"/>
    </row>
    <row r="53" spans="1:15" ht="16.5" x14ac:dyDescent="0.25">
      <c r="A53" s="110" t="s">
        <v>6</v>
      </c>
      <c r="B53" s="132">
        <v>1641</v>
      </c>
      <c r="C53" s="132">
        <v>1655</v>
      </c>
      <c r="D53" s="186"/>
      <c r="E53" s="111">
        <f>C53-B53</f>
        <v>14</v>
      </c>
      <c r="F53" s="22">
        <f>E53</f>
        <v>14</v>
      </c>
      <c r="G53" s="119">
        <f>ROUND(F53*$L$2,-3)</f>
        <v>252000</v>
      </c>
      <c r="H53" s="175"/>
      <c r="I53" s="44"/>
      <c r="J53" s="62" t="str">
        <f t="shared" si="17"/>
        <v>Nước</v>
      </c>
      <c r="K53" s="39"/>
      <c r="L53" s="39">
        <f>789-749</f>
        <v>40</v>
      </c>
      <c r="M53" s="39"/>
      <c r="N53" s="39"/>
      <c r="O53" s="39"/>
    </row>
    <row r="54" spans="1:15" s="2" customFormat="1" ht="23.25" customHeight="1" x14ac:dyDescent="0.3">
      <c r="A54" s="84" t="s">
        <v>173</v>
      </c>
      <c r="B54" s="120"/>
      <c r="C54" s="120"/>
      <c r="D54" s="120"/>
      <c r="E54" s="86"/>
      <c r="F54" s="87"/>
      <c r="G54" s="120"/>
      <c r="H54" s="173">
        <f t="shared" ref="H54" si="19">ROUND(SUM(G55:G56),-3)</f>
        <v>402000</v>
      </c>
      <c r="I54" s="74"/>
      <c r="J54" s="62" t="str">
        <f t="shared" si="17"/>
        <v>C102</v>
      </c>
      <c r="K54" s="62"/>
      <c r="L54" s="62"/>
      <c r="M54" s="62"/>
      <c r="N54" s="62"/>
      <c r="O54" s="62"/>
    </row>
    <row r="55" spans="1:15" s="23" customFormat="1" ht="16.5" x14ac:dyDescent="0.25">
      <c r="A55" s="112" t="s">
        <v>5</v>
      </c>
      <c r="B55" s="131">
        <v>4161</v>
      </c>
      <c r="C55" s="131">
        <v>4217</v>
      </c>
      <c r="D55" s="186">
        <f>VLOOKUP(RIGHT(LEFT(A54,11),4),'so nguoi'!$C$8:$N$21,2,0)</f>
        <v>4</v>
      </c>
      <c r="E55" s="25">
        <f>C55-B55</f>
        <v>56</v>
      </c>
      <c r="F55" s="26">
        <f>E55</f>
        <v>56</v>
      </c>
      <c r="G55" s="77">
        <f>ROUND(F55*$L$1,-3)</f>
        <v>162000</v>
      </c>
      <c r="H55" s="174"/>
      <c r="I55" s="79"/>
      <c r="J55" s="80" t="str">
        <f t="shared" si="17"/>
        <v>Điện</v>
      </c>
      <c r="K55" s="81"/>
      <c r="L55" s="81"/>
      <c r="M55" s="81"/>
      <c r="N55" s="81"/>
      <c r="O55" s="81"/>
    </row>
    <row r="56" spans="1:15" s="23" customFormat="1" ht="16.5" x14ac:dyDescent="0.25">
      <c r="A56" s="110" t="s">
        <v>6</v>
      </c>
      <c r="B56" s="132">
        <v>6458</v>
      </c>
      <c r="C56" s="132">
        <v>6488</v>
      </c>
      <c r="D56" s="186"/>
      <c r="E56" s="111">
        <f>C56-B56</f>
        <v>30</v>
      </c>
      <c r="F56" s="22">
        <f>IF(D55=0,0,(E56/(D55+D58)*D55))</f>
        <v>13.333333333333334</v>
      </c>
      <c r="G56" s="119">
        <f>ROUND(F56*$L$2,-3)</f>
        <v>240000</v>
      </c>
      <c r="H56" s="175"/>
      <c r="I56" s="79"/>
      <c r="J56" s="80" t="str">
        <f t="shared" si="17"/>
        <v>Nước</v>
      </c>
      <c r="K56" s="81"/>
      <c r="L56" s="81"/>
      <c r="M56" s="81"/>
      <c r="N56" s="81"/>
      <c r="O56" s="81"/>
    </row>
    <row r="57" spans="1:15" s="90" customFormat="1" ht="23.25" customHeight="1" x14ac:dyDescent="0.3">
      <c r="A57" s="84" t="s">
        <v>174</v>
      </c>
      <c r="B57" s="120"/>
      <c r="C57" s="120"/>
      <c r="D57" s="120"/>
      <c r="E57" s="86"/>
      <c r="F57" s="87"/>
      <c r="G57" s="120"/>
      <c r="H57" s="173">
        <f t="shared" ref="H57" si="20">ROUND(SUM(G58:G59),-3)</f>
        <v>663000</v>
      </c>
      <c r="I57" s="89"/>
      <c r="J57" s="80" t="str">
        <f t="shared" si="17"/>
        <v>C103</v>
      </c>
      <c r="K57" s="80"/>
      <c r="L57" s="80"/>
      <c r="M57" s="80"/>
      <c r="N57" s="80"/>
      <c r="O57" s="80"/>
    </row>
    <row r="58" spans="1:15" s="23" customFormat="1" ht="16.5" x14ac:dyDescent="0.25">
      <c r="A58" s="112" t="s">
        <v>5</v>
      </c>
      <c r="B58" s="112">
        <v>4095</v>
      </c>
      <c r="C58" s="162">
        <v>4220</v>
      </c>
      <c r="D58" s="186">
        <f>VLOOKUP(RIGHT(LEFT(A57,11),4),'so nguoi'!$C$8:$N$21,2,0)</f>
        <v>5</v>
      </c>
      <c r="E58" s="25">
        <f>C58-B58</f>
        <v>125</v>
      </c>
      <c r="F58" s="26">
        <f>E58</f>
        <v>125</v>
      </c>
      <c r="G58" s="77">
        <f>ROUND(F58*$L$1,-3)</f>
        <v>363000</v>
      </c>
      <c r="H58" s="174"/>
      <c r="I58" s="79"/>
      <c r="J58" s="80" t="str">
        <f t="shared" si="17"/>
        <v>Điện</v>
      </c>
      <c r="K58" s="81"/>
      <c r="L58" s="81"/>
      <c r="M58" s="81"/>
      <c r="N58" s="81"/>
      <c r="O58" s="81"/>
    </row>
    <row r="59" spans="1:15" s="23" customFormat="1" ht="16.5" x14ac:dyDescent="0.25">
      <c r="A59" s="110" t="s">
        <v>6</v>
      </c>
      <c r="B59" s="110">
        <f>B56</f>
        <v>6458</v>
      </c>
      <c r="C59" s="110">
        <f>C56</f>
        <v>6488</v>
      </c>
      <c r="D59" s="186"/>
      <c r="E59" s="111">
        <f>C59-B59</f>
        <v>30</v>
      </c>
      <c r="F59" s="22">
        <f>IF(D58=0,0,(E59/(D58+D55)*D58))</f>
        <v>16.666666666666668</v>
      </c>
      <c r="G59" s="119">
        <f>ROUND(F59*$L$2,-3)</f>
        <v>300000</v>
      </c>
      <c r="H59" s="175"/>
      <c r="I59" s="79"/>
      <c r="J59" s="80" t="str">
        <f t="shared" si="17"/>
        <v>Nước</v>
      </c>
      <c r="K59" s="81"/>
      <c r="L59" s="81"/>
      <c r="M59" s="81"/>
      <c r="N59" s="81"/>
      <c r="O59" s="81"/>
    </row>
    <row r="60" spans="1:15" s="2" customFormat="1" ht="23.25" customHeight="1" x14ac:dyDescent="0.3">
      <c r="A60" s="84" t="s">
        <v>175</v>
      </c>
      <c r="B60" s="120"/>
      <c r="C60" s="120"/>
      <c r="D60" s="120"/>
      <c r="E60" s="86"/>
      <c r="F60" s="87"/>
      <c r="G60" s="120"/>
      <c r="H60" s="173">
        <f t="shared" ref="H60" si="21">ROUND(SUM(G61:G62),-3)</f>
        <v>325000</v>
      </c>
      <c r="I60" s="74"/>
      <c r="J60" s="62" t="str">
        <f t="shared" si="17"/>
        <v>C104</v>
      </c>
      <c r="K60" s="62"/>
      <c r="L60" s="62"/>
      <c r="M60" s="62"/>
      <c r="N60" s="62"/>
      <c r="O60" s="62"/>
    </row>
    <row r="61" spans="1:15" s="23" customFormat="1" ht="16.5" x14ac:dyDescent="0.25">
      <c r="A61" s="112" t="s">
        <v>5</v>
      </c>
      <c r="B61" s="112">
        <v>889</v>
      </c>
      <c r="C61" s="112">
        <v>936</v>
      </c>
      <c r="D61" s="186">
        <f>VLOOKUP(RIGHT(LEFT(A60,11),4),'so nguoi'!$C$8:$N$21,2,0)</f>
        <v>3</v>
      </c>
      <c r="E61" s="25">
        <f>C61-B61</f>
        <v>47</v>
      </c>
      <c r="F61" s="26">
        <f>E61</f>
        <v>47</v>
      </c>
      <c r="G61" s="77">
        <f>ROUND(F61*$L$1,-3)</f>
        <v>136000</v>
      </c>
      <c r="H61" s="174"/>
      <c r="I61" s="79"/>
      <c r="J61" s="80" t="str">
        <f t="shared" si="17"/>
        <v>Điện</v>
      </c>
      <c r="K61" s="81"/>
      <c r="L61" s="81"/>
      <c r="M61" s="81"/>
      <c r="N61" s="81"/>
      <c r="O61" s="81"/>
    </row>
    <row r="62" spans="1:15" s="23" customFormat="1" ht="16.5" x14ac:dyDescent="0.25">
      <c r="A62" s="110" t="s">
        <v>6</v>
      </c>
      <c r="B62" s="110">
        <v>5817</v>
      </c>
      <c r="C62" s="110">
        <v>5838</v>
      </c>
      <c r="D62" s="186"/>
      <c r="E62" s="111">
        <f>C62-B62</f>
        <v>21</v>
      </c>
      <c r="F62" s="22">
        <f>IF(D61=0,0,(E62/(D61+D64)*D61))</f>
        <v>10.5</v>
      </c>
      <c r="G62" s="119">
        <f>ROUND(F62*$L$2,-3)</f>
        <v>189000</v>
      </c>
      <c r="H62" s="175"/>
      <c r="I62" s="79"/>
      <c r="J62" s="81"/>
      <c r="K62" s="81"/>
      <c r="L62" s="81"/>
      <c r="M62" s="81"/>
      <c r="N62" s="81"/>
      <c r="O62" s="81"/>
    </row>
    <row r="63" spans="1:15" s="2" customFormat="1" ht="23.25" customHeight="1" x14ac:dyDescent="0.3">
      <c r="A63" s="84" t="s">
        <v>176</v>
      </c>
      <c r="B63" s="120"/>
      <c r="C63" s="120"/>
      <c r="D63" s="120"/>
      <c r="E63" s="86"/>
      <c r="F63" s="87"/>
      <c r="G63" s="121"/>
      <c r="H63" s="173">
        <f t="shared" ref="H63" si="22">ROUND(SUM(G64:G65),-3)</f>
        <v>418000</v>
      </c>
      <c r="I63" s="74"/>
      <c r="J63" s="62"/>
      <c r="K63" s="62"/>
      <c r="L63" s="62"/>
      <c r="M63" s="62"/>
      <c r="N63" s="62"/>
      <c r="O63" s="62"/>
    </row>
    <row r="64" spans="1:15" ht="16.5" x14ac:dyDescent="0.25">
      <c r="A64" s="110" t="s">
        <v>5</v>
      </c>
      <c r="B64" s="110">
        <v>5953</v>
      </c>
      <c r="C64" s="110">
        <v>6032</v>
      </c>
      <c r="D64" s="186">
        <f>VLOOKUP(RIGHT(LEFT(A63,11),4),'so nguoi'!$C$8:$N$21,2,0)</f>
        <v>3</v>
      </c>
      <c r="E64" s="25">
        <f>C64-B64</f>
        <v>79</v>
      </c>
      <c r="F64" s="26">
        <f>E64</f>
        <v>79</v>
      </c>
      <c r="G64" s="122">
        <f>ROUND(F64*$L$1,-3)</f>
        <v>229000</v>
      </c>
      <c r="H64" s="174"/>
      <c r="I64" s="44"/>
      <c r="J64" s="39"/>
      <c r="K64" s="39"/>
      <c r="L64" s="39"/>
      <c r="M64" s="39"/>
      <c r="N64" s="39"/>
      <c r="O64" s="39"/>
    </row>
    <row r="65" spans="1:15" s="23" customFormat="1" ht="16.5" x14ac:dyDescent="0.25">
      <c r="A65" s="110" t="s">
        <v>6</v>
      </c>
      <c r="B65" s="110">
        <f>B62</f>
        <v>5817</v>
      </c>
      <c r="C65" s="110">
        <f>C62</f>
        <v>5838</v>
      </c>
      <c r="D65" s="186"/>
      <c r="E65" s="111">
        <f>C65-B65</f>
        <v>21</v>
      </c>
      <c r="F65" s="22">
        <f>IF(D64=0,0,(E65/(D64+D61)*D64))</f>
        <v>10.5</v>
      </c>
      <c r="G65" s="123">
        <f>ROUND(F65*$L$2,-3)</f>
        <v>189000</v>
      </c>
      <c r="H65" s="175"/>
      <c r="I65" s="79"/>
      <c r="J65" s="81"/>
      <c r="K65" s="81"/>
      <c r="L65" s="81"/>
      <c r="M65" s="81"/>
      <c r="N65" s="81"/>
      <c r="O65" s="81"/>
    </row>
    <row r="66" spans="1:15" s="90" customFormat="1" ht="23.25" customHeight="1" x14ac:dyDescent="0.3">
      <c r="A66" s="84" t="s">
        <v>177</v>
      </c>
      <c r="B66" s="120"/>
      <c r="C66" s="120"/>
      <c r="D66" s="120"/>
      <c r="E66" s="86"/>
      <c r="F66" s="87"/>
      <c r="G66" s="120"/>
      <c r="H66" s="173">
        <f t="shared" ref="H66" si="23">ROUND(SUM(G67:G68),-3)</f>
        <v>318000</v>
      </c>
      <c r="I66" s="89"/>
      <c r="J66" s="80"/>
      <c r="K66" s="80"/>
      <c r="L66" s="80"/>
      <c r="M66" s="80"/>
      <c r="N66" s="80"/>
      <c r="O66" s="80"/>
    </row>
    <row r="67" spans="1:15" s="23" customFormat="1" ht="16.5" x14ac:dyDescent="0.25">
      <c r="A67" s="112" t="s">
        <v>5</v>
      </c>
      <c r="B67" s="112">
        <v>3034</v>
      </c>
      <c r="C67" s="112">
        <v>3081</v>
      </c>
      <c r="D67" s="182">
        <f>VLOOKUP(RIGHT(LEFT(A66,11),4),'so nguoi'!$C$8:$N$21,2,0)</f>
        <v>7</v>
      </c>
      <c r="E67" s="25">
        <f>C67-B67</f>
        <v>47</v>
      </c>
      <c r="F67" s="26">
        <f>E67</f>
        <v>47</v>
      </c>
      <c r="G67" s="77">
        <f>ROUND(F67*$L$1,-3)</f>
        <v>136000</v>
      </c>
      <c r="H67" s="174"/>
      <c r="I67" s="79"/>
      <c r="J67" s="81"/>
      <c r="K67" s="81"/>
      <c r="L67" s="81"/>
      <c r="M67" s="81"/>
      <c r="N67" s="81"/>
      <c r="O67" s="81"/>
    </row>
    <row r="68" spans="1:15" s="23" customFormat="1" ht="16.5" x14ac:dyDescent="0.25">
      <c r="A68" s="110" t="s">
        <v>6</v>
      </c>
      <c r="B68" s="110">
        <v>6479</v>
      </c>
      <c r="C68" s="132">
        <v>6492</v>
      </c>
      <c r="D68" s="182"/>
      <c r="E68" s="111">
        <f>C68-B68</f>
        <v>13</v>
      </c>
      <c r="F68" s="22">
        <f>IF(D67=0,0,(E68/(D67+D70)*D67))</f>
        <v>10.111111111111111</v>
      </c>
      <c r="G68" s="119">
        <f>ROUND(F68*$L$2,-3)</f>
        <v>182000</v>
      </c>
      <c r="H68" s="175"/>
      <c r="I68" s="79"/>
      <c r="J68" s="81"/>
      <c r="K68" s="81"/>
      <c r="L68" s="81"/>
      <c r="M68" s="81"/>
      <c r="N68" s="81"/>
      <c r="O68" s="81"/>
    </row>
    <row r="69" spans="1:15" s="90" customFormat="1" ht="23.25" customHeight="1" x14ac:dyDescent="0.3">
      <c r="A69" s="84" t="s">
        <v>178</v>
      </c>
      <c r="B69" s="120"/>
      <c r="C69" s="120"/>
      <c r="D69" s="120"/>
      <c r="E69" s="86"/>
      <c r="F69" s="87"/>
      <c r="G69" s="121"/>
      <c r="H69" s="173">
        <f t="shared" ref="H69" si="24">ROUND(SUM(G70:G71),-3)</f>
        <v>139000</v>
      </c>
      <c r="I69" s="89"/>
      <c r="J69" s="80"/>
      <c r="K69" s="80"/>
      <c r="L69" s="80"/>
      <c r="M69" s="80"/>
      <c r="N69" s="80"/>
      <c r="O69" s="80"/>
    </row>
    <row r="70" spans="1:15" s="23" customFormat="1" ht="16.5" x14ac:dyDescent="0.25">
      <c r="A70" s="110" t="s">
        <v>5</v>
      </c>
      <c r="B70" s="110">
        <v>2103</v>
      </c>
      <c r="C70" s="110">
        <v>2133</v>
      </c>
      <c r="D70" s="186">
        <f>VLOOKUP(RIGHT(LEFT(A69,11),4),'so nguoi'!$C$8:$N$21,2,0)</f>
        <v>2</v>
      </c>
      <c r="E70" s="25">
        <f>C70-B70</f>
        <v>30</v>
      </c>
      <c r="F70" s="26">
        <f>E70</f>
        <v>30</v>
      </c>
      <c r="G70" s="77">
        <f>ROUND(F70*$L$1,-3)</f>
        <v>87000</v>
      </c>
      <c r="H70" s="174"/>
      <c r="I70" s="79"/>
      <c r="J70" s="81">
        <f>5128-5105</f>
        <v>23</v>
      </c>
      <c r="K70" s="81"/>
      <c r="L70" s="81"/>
      <c r="M70" s="81"/>
      <c r="N70" s="81"/>
      <c r="O70" s="81"/>
    </row>
    <row r="71" spans="1:15" s="23" customFormat="1" ht="16.5" x14ac:dyDescent="0.25">
      <c r="A71" s="110" t="s">
        <v>6</v>
      </c>
      <c r="B71" s="110">
        <f>B68</f>
        <v>6479</v>
      </c>
      <c r="C71" s="110">
        <f>C68</f>
        <v>6492</v>
      </c>
      <c r="D71" s="186"/>
      <c r="E71" s="111">
        <f>C71-B71</f>
        <v>13</v>
      </c>
      <c r="F71" s="22">
        <f>IF(D70=0,0,(E71/(D70+D67)*D70))</f>
        <v>2.8888888888888888</v>
      </c>
      <c r="G71" s="123">
        <f>ROUND(F71*$L$2,-3)</f>
        <v>52000</v>
      </c>
      <c r="H71" s="175"/>
      <c r="I71" s="79"/>
      <c r="J71" s="81">
        <f>5105-5080</f>
        <v>25</v>
      </c>
      <c r="K71" s="81"/>
      <c r="L71" s="81"/>
      <c r="M71" s="81"/>
      <c r="N71" s="81"/>
      <c r="O71" s="81"/>
    </row>
    <row r="72" spans="1:15" s="2" customFormat="1" ht="23.25" customHeight="1" x14ac:dyDescent="0.3">
      <c r="A72" s="84" t="s">
        <v>179</v>
      </c>
      <c r="B72" s="120"/>
      <c r="C72" s="120"/>
      <c r="D72" s="120"/>
      <c r="E72" s="86"/>
      <c r="F72" s="87"/>
      <c r="G72" s="120"/>
      <c r="H72" s="173">
        <f t="shared" ref="H72" si="25">ROUND(SUM(G73:G74),-3)</f>
        <v>0</v>
      </c>
      <c r="I72" s="74"/>
      <c r="J72" s="62"/>
      <c r="K72" s="62"/>
      <c r="L72" s="62"/>
      <c r="M72" s="62"/>
      <c r="N72" s="62"/>
      <c r="O72" s="62"/>
    </row>
    <row r="73" spans="1:15" s="23" customFormat="1" ht="16.5" x14ac:dyDescent="0.25">
      <c r="A73" s="112" t="s">
        <v>5</v>
      </c>
      <c r="B73" s="131">
        <v>4107</v>
      </c>
      <c r="C73" s="131">
        <v>4107</v>
      </c>
      <c r="D73" s="182">
        <f>VLOOKUP(RIGHT(LEFT(A72,11),4),'so nguoi'!$C$8:$N$21,2,0)</f>
        <v>0</v>
      </c>
      <c r="E73" s="25">
        <f>C73-B73</f>
        <v>0</v>
      </c>
      <c r="F73" s="26">
        <f>E73</f>
        <v>0</v>
      </c>
      <c r="G73" s="77">
        <f>ROUND(F73*$L$1,-3)</f>
        <v>0</v>
      </c>
      <c r="H73" s="174"/>
      <c r="I73" s="79"/>
      <c r="J73" s="81"/>
      <c r="K73" s="81"/>
      <c r="L73" s="81"/>
      <c r="M73" s="81"/>
      <c r="N73" s="81"/>
      <c r="O73" s="81"/>
    </row>
    <row r="74" spans="1:15" s="23" customFormat="1" ht="16.5" x14ac:dyDescent="0.25">
      <c r="A74" s="110" t="s">
        <v>6</v>
      </c>
      <c r="B74" s="110">
        <v>6712</v>
      </c>
      <c r="C74" s="110">
        <v>6734</v>
      </c>
      <c r="D74" s="182"/>
      <c r="E74" s="111">
        <f>C74-B74</f>
        <v>22</v>
      </c>
      <c r="F74" s="22">
        <f>IF(D73=0,0,(E74/(D73+D76)*D73))</f>
        <v>0</v>
      </c>
      <c r="G74" s="119">
        <f>ROUND(F74*$L$2,-3)</f>
        <v>0</v>
      </c>
      <c r="H74" s="175"/>
      <c r="I74" s="79"/>
      <c r="J74" s="81"/>
      <c r="K74" s="81"/>
      <c r="L74" s="81"/>
      <c r="M74" s="81"/>
      <c r="N74" s="81"/>
      <c r="O74" s="81"/>
    </row>
    <row r="75" spans="1:15" s="2" customFormat="1" ht="23.25" customHeight="1" x14ac:dyDescent="0.3">
      <c r="A75" s="84" t="s">
        <v>180</v>
      </c>
      <c r="B75" s="120"/>
      <c r="C75" s="120"/>
      <c r="D75" s="120"/>
      <c r="E75" s="86"/>
      <c r="F75" s="87"/>
      <c r="G75" s="121"/>
      <c r="H75" s="173">
        <f t="shared" ref="H75" si="26">ROUND(SUM(G76:G77),-3)</f>
        <v>628000</v>
      </c>
      <c r="I75" s="74"/>
      <c r="J75" s="62"/>
      <c r="K75" s="62"/>
      <c r="L75" s="62"/>
      <c r="M75" s="62"/>
      <c r="N75" s="62"/>
      <c r="O75" s="62"/>
    </row>
    <row r="76" spans="1:15" ht="16.5" x14ac:dyDescent="0.25">
      <c r="A76" s="110" t="s">
        <v>5</v>
      </c>
      <c r="B76" s="110">
        <v>6240</v>
      </c>
      <c r="C76" s="110">
        <v>6320</v>
      </c>
      <c r="D76" s="182">
        <f>VLOOKUP(RIGHT(LEFT(A75,11),4),'so nguoi'!$C$8:$N$21,2,0)</f>
        <v>6</v>
      </c>
      <c r="E76" s="25">
        <f>C76-B76</f>
        <v>80</v>
      </c>
      <c r="F76" s="26">
        <f>E76</f>
        <v>80</v>
      </c>
      <c r="G76" s="77">
        <f>ROUND(F76*$L$1,-3)</f>
        <v>232000</v>
      </c>
      <c r="H76" s="174"/>
      <c r="I76" s="44"/>
      <c r="J76" s="39"/>
      <c r="K76" s="39"/>
      <c r="L76" s="39"/>
      <c r="M76" s="39"/>
      <c r="N76" s="39"/>
      <c r="O76" s="39"/>
    </row>
    <row r="77" spans="1:15" ht="16.5" x14ac:dyDescent="0.25">
      <c r="A77" s="110" t="s">
        <v>6</v>
      </c>
      <c r="B77" s="110">
        <f>B74</f>
        <v>6712</v>
      </c>
      <c r="C77" s="110">
        <f>C74</f>
        <v>6734</v>
      </c>
      <c r="D77" s="182"/>
      <c r="E77" s="111">
        <f>C77-B77</f>
        <v>22</v>
      </c>
      <c r="F77" s="22">
        <f>IF(D76=0,0,(E77/(D76+D73)*D76))</f>
        <v>22</v>
      </c>
      <c r="G77" s="123">
        <f>ROUND(F77*$L$2,-3)</f>
        <v>396000</v>
      </c>
      <c r="H77" s="175"/>
      <c r="I77" s="44"/>
      <c r="J77" s="39"/>
      <c r="K77" s="39"/>
      <c r="L77" s="39"/>
      <c r="M77" s="39"/>
      <c r="N77" s="39"/>
      <c r="O77" s="39"/>
    </row>
    <row r="78" spans="1:15" s="2" customFormat="1" ht="23.25" customHeight="1" x14ac:dyDescent="0.3">
      <c r="A78" s="84" t="s">
        <v>181</v>
      </c>
      <c r="B78" s="120"/>
      <c r="C78" s="120"/>
      <c r="D78" s="120"/>
      <c r="E78" s="86"/>
      <c r="F78" s="87"/>
      <c r="G78" s="120"/>
      <c r="H78" s="173">
        <f t="shared" ref="H78" si="27">ROUND(SUM(G79:G80),-3)</f>
        <v>326000</v>
      </c>
      <c r="I78" s="74"/>
      <c r="J78" s="62"/>
      <c r="K78" s="62"/>
      <c r="L78" s="62"/>
      <c r="M78" s="62"/>
      <c r="N78" s="62"/>
      <c r="O78" s="62"/>
    </row>
    <row r="79" spans="1:15" ht="16.5" x14ac:dyDescent="0.25">
      <c r="A79" s="112" t="s">
        <v>5</v>
      </c>
      <c r="B79" s="112">
        <v>1662</v>
      </c>
      <c r="C79" s="112">
        <v>1722</v>
      </c>
      <c r="D79" s="182">
        <f>VLOOKUP(RIGHT(LEFT(A78,11),4),'so nguoi'!$C$8:$N$21,2,0)</f>
        <v>4</v>
      </c>
      <c r="E79" s="25">
        <f>C79-B79</f>
        <v>60</v>
      </c>
      <c r="F79" s="26">
        <f>E79</f>
        <v>60</v>
      </c>
      <c r="G79" s="77">
        <f>ROUND(F79*$L$1,-3)</f>
        <v>174000</v>
      </c>
      <c r="H79" s="174"/>
      <c r="I79" s="44"/>
      <c r="J79" s="116"/>
      <c r="K79" s="39"/>
      <c r="L79" s="39"/>
      <c r="M79" s="39"/>
      <c r="N79" s="39"/>
      <c r="O79" s="39"/>
    </row>
    <row r="80" spans="1:15" ht="16.5" x14ac:dyDescent="0.25">
      <c r="A80" s="110" t="s">
        <v>6</v>
      </c>
      <c r="B80" s="110">
        <v>5952</v>
      </c>
      <c r="C80" s="110">
        <v>5971</v>
      </c>
      <c r="D80" s="182"/>
      <c r="E80" s="111">
        <f>C80-B80</f>
        <v>19</v>
      </c>
      <c r="F80" s="22">
        <f>IF(D79=0,0,(E80/(D79+D82)*D79))</f>
        <v>8.4444444444444446</v>
      </c>
      <c r="G80" s="119">
        <f>ROUND(F80*$L$2,-3)</f>
        <v>152000</v>
      </c>
      <c r="H80" s="175"/>
      <c r="I80" s="44"/>
      <c r="J80" s="39"/>
      <c r="K80" s="39"/>
      <c r="L80" s="39"/>
      <c r="M80" s="39"/>
      <c r="N80" s="39"/>
      <c r="O80" s="39"/>
    </row>
    <row r="81" spans="1:15" s="2" customFormat="1" ht="23.25" customHeight="1" x14ac:dyDescent="0.3">
      <c r="A81" s="84" t="s">
        <v>182</v>
      </c>
      <c r="B81" s="120"/>
      <c r="C81" s="120"/>
      <c r="D81" s="120"/>
      <c r="E81" s="86"/>
      <c r="F81" s="87"/>
      <c r="G81" s="120"/>
      <c r="H81" s="179">
        <f t="shared" ref="H81" si="28">ROUND(SUM(G82:G83),-3)</f>
        <v>350000</v>
      </c>
      <c r="I81" s="74"/>
      <c r="J81" s="62"/>
      <c r="K81" s="62"/>
      <c r="L81" s="62"/>
      <c r="M81" s="62"/>
      <c r="N81" s="62"/>
      <c r="O81" s="62"/>
    </row>
    <row r="82" spans="1:15" ht="16.5" x14ac:dyDescent="0.25">
      <c r="A82" s="112" t="s">
        <v>5</v>
      </c>
      <c r="B82" s="112">
        <v>4083</v>
      </c>
      <c r="C82" s="112">
        <v>4138</v>
      </c>
      <c r="D82" s="182">
        <f>VLOOKUP(RIGHT(LEFT(A81,11),4),'so nguoi'!$C$8:$N$21,2,0)</f>
        <v>5</v>
      </c>
      <c r="E82" s="25">
        <f>C82-B82</f>
        <v>55</v>
      </c>
      <c r="F82" s="26">
        <f>E82</f>
        <v>55</v>
      </c>
      <c r="G82" s="77">
        <f>ROUND(F82*$L$1,-3)</f>
        <v>160000</v>
      </c>
      <c r="H82" s="180"/>
      <c r="I82" s="44"/>
      <c r="J82" s="39"/>
      <c r="K82" s="39"/>
      <c r="L82" s="39"/>
      <c r="M82" s="39"/>
      <c r="N82" s="39"/>
      <c r="O82" s="39"/>
    </row>
    <row r="83" spans="1:15" ht="16.5" x14ac:dyDescent="0.25">
      <c r="A83" s="110" t="s">
        <v>6</v>
      </c>
      <c r="B83" s="110">
        <f>B80</f>
        <v>5952</v>
      </c>
      <c r="C83" s="110">
        <f>C80</f>
        <v>5971</v>
      </c>
      <c r="D83" s="182"/>
      <c r="E83" s="111">
        <f>C83-B83</f>
        <v>19</v>
      </c>
      <c r="F83" s="22">
        <f>IF(D82=0,0,(E83/(D82+D79)*D82))</f>
        <v>10.555555555555555</v>
      </c>
      <c r="G83" s="119">
        <f>ROUND(F83*$L$2,-3)</f>
        <v>190000</v>
      </c>
      <c r="H83" s="181"/>
      <c r="I83" s="44"/>
      <c r="J83" s="39"/>
      <c r="K83" s="39"/>
      <c r="L83" s="39"/>
      <c r="M83" s="39"/>
      <c r="N83" s="39"/>
      <c r="O83" s="39"/>
    </row>
    <row r="84" spans="1:15" s="109" customFormat="1" ht="23.25" customHeight="1" x14ac:dyDescent="0.3">
      <c r="A84" s="84" t="s">
        <v>197</v>
      </c>
      <c r="B84" s="120"/>
      <c r="C84" s="120"/>
      <c r="D84" s="120"/>
      <c r="E84" s="86"/>
      <c r="F84" s="87"/>
      <c r="G84" s="120"/>
      <c r="H84" s="173">
        <f t="shared" ref="H84" si="29">ROUND(SUM(G85:G86),-3)</f>
        <v>0</v>
      </c>
      <c r="I84" s="118"/>
      <c r="J84" s="115"/>
      <c r="K84" s="115"/>
      <c r="L84" s="115"/>
      <c r="M84" s="115"/>
      <c r="N84" s="115"/>
      <c r="O84" s="115"/>
    </row>
    <row r="85" spans="1:15" s="108" customFormat="1" ht="16.5" x14ac:dyDescent="0.25">
      <c r="A85" s="112" t="s">
        <v>5</v>
      </c>
      <c r="B85" s="112">
        <v>3199</v>
      </c>
      <c r="C85" s="112">
        <v>3199</v>
      </c>
      <c r="D85" s="182">
        <f>VLOOKUP(RIGHT(LEFT(A84,11),4),'so nguoi'!$C$8:$N$21,2,0)</f>
        <v>0</v>
      </c>
      <c r="E85" s="25">
        <f>C85-B85</f>
        <v>0</v>
      </c>
      <c r="F85" s="26">
        <f>E85</f>
        <v>0</v>
      </c>
      <c r="G85" s="77">
        <f>ROUND(F85*$L$1,-3)</f>
        <v>0</v>
      </c>
      <c r="H85" s="174"/>
      <c r="I85" s="114"/>
      <c r="J85" s="113"/>
      <c r="K85" s="113"/>
      <c r="L85" s="113"/>
      <c r="M85" s="113"/>
      <c r="N85" s="113"/>
      <c r="O85" s="113"/>
    </row>
    <row r="86" spans="1:15" s="108" customFormat="1" ht="16.5" x14ac:dyDescent="0.25">
      <c r="A86" s="110" t="s">
        <v>6</v>
      </c>
      <c r="B86" s="110">
        <v>2874</v>
      </c>
      <c r="C86" s="110">
        <v>2874</v>
      </c>
      <c r="D86" s="182"/>
      <c r="E86" s="111">
        <f>C86-B86</f>
        <v>0</v>
      </c>
      <c r="F86" s="22">
        <f>E86</f>
        <v>0</v>
      </c>
      <c r="G86" s="119">
        <f>ROUND(F86*$L$2,-3)</f>
        <v>0</v>
      </c>
      <c r="H86" s="175"/>
      <c r="I86" s="114"/>
      <c r="J86" s="113"/>
      <c r="K86" s="113"/>
      <c r="L86" s="113"/>
      <c r="M86" s="113"/>
      <c r="N86" s="113"/>
      <c r="O86" s="113"/>
    </row>
    <row r="87" spans="1:15" s="2" customFormat="1" ht="23.25" customHeight="1" x14ac:dyDescent="0.3">
      <c r="A87" s="84" t="s">
        <v>183</v>
      </c>
      <c r="B87" s="120"/>
      <c r="C87" s="120"/>
      <c r="D87" s="120"/>
      <c r="E87" s="86"/>
      <c r="F87" s="87"/>
      <c r="G87" s="120"/>
      <c r="H87" s="173">
        <f t="shared" ref="H87" si="30">ROUND(SUM(G88:G89),-3)</f>
        <v>0</v>
      </c>
      <c r="I87" s="74"/>
      <c r="J87" s="62"/>
      <c r="K87" s="62"/>
      <c r="L87" s="62"/>
      <c r="M87" s="62"/>
      <c r="N87" s="62"/>
      <c r="O87" s="62"/>
    </row>
    <row r="88" spans="1:15" ht="16.5" x14ac:dyDescent="0.25">
      <c r="A88" s="112" t="s">
        <v>5</v>
      </c>
      <c r="B88" s="112">
        <v>2824</v>
      </c>
      <c r="C88" s="112">
        <v>2824</v>
      </c>
      <c r="D88" s="186">
        <f>VLOOKUP(RIGHT(LEFT(A87,11),4),'so nguoi'!$E$8:$N$21,2,0)</f>
        <v>0</v>
      </c>
      <c r="E88" s="25">
        <f>C88-B88</f>
        <v>0</v>
      </c>
      <c r="F88" s="26">
        <f>E88</f>
        <v>0</v>
      </c>
      <c r="G88" s="77">
        <f>ROUND(F88*$L$1,-3)</f>
        <v>0</v>
      </c>
      <c r="H88" s="174"/>
      <c r="I88" s="44"/>
      <c r="J88" s="39"/>
      <c r="K88" s="39"/>
      <c r="L88" s="39"/>
      <c r="M88" s="39"/>
      <c r="N88" s="39"/>
      <c r="O88" s="39"/>
    </row>
    <row r="89" spans="1:15" ht="16.5" x14ac:dyDescent="0.25">
      <c r="A89" s="110" t="s">
        <v>6</v>
      </c>
      <c r="B89" s="163">
        <v>943</v>
      </c>
      <c r="C89" s="163">
        <v>954</v>
      </c>
      <c r="D89" s="186"/>
      <c r="E89" s="111">
        <f>C89-B89</f>
        <v>11</v>
      </c>
      <c r="F89" s="22">
        <f>IF(D88=0,0,(E89/(D88+D91)*D88))</f>
        <v>0</v>
      </c>
      <c r="G89" s="119">
        <f>ROUND(F89*$L$2,-3)</f>
        <v>0</v>
      </c>
      <c r="H89" s="175"/>
      <c r="I89" s="44"/>
      <c r="J89" s="39"/>
      <c r="K89" s="39"/>
      <c r="L89" s="39"/>
      <c r="M89" s="39"/>
      <c r="N89" s="39"/>
      <c r="O89" s="39"/>
    </row>
    <row r="90" spans="1:15" s="2" customFormat="1" ht="23.25" customHeight="1" x14ac:dyDescent="0.3">
      <c r="A90" s="84" t="s">
        <v>184</v>
      </c>
      <c r="B90" s="120"/>
      <c r="C90" s="120"/>
      <c r="D90" s="120"/>
      <c r="E90" s="86"/>
      <c r="F90" s="87"/>
      <c r="G90" s="120"/>
      <c r="H90" s="173">
        <f t="shared" ref="H90" si="31">ROUND(SUM(G91:G92),-3)</f>
        <v>360000</v>
      </c>
      <c r="I90" s="74"/>
      <c r="J90" s="62"/>
      <c r="K90" s="62"/>
      <c r="L90" s="62"/>
      <c r="M90" s="62"/>
      <c r="N90" s="62"/>
      <c r="O90" s="62"/>
    </row>
    <row r="91" spans="1:15" s="23" customFormat="1" ht="16.5" x14ac:dyDescent="0.25">
      <c r="A91" s="112" t="s">
        <v>5</v>
      </c>
      <c r="B91" s="112">
        <v>2162</v>
      </c>
      <c r="C91" s="112">
        <v>2218</v>
      </c>
      <c r="D91" s="186">
        <f>VLOOKUP(RIGHT(LEFT(A90,11),4),'so nguoi'!$E$8:$N$21,2,0)</f>
        <v>6</v>
      </c>
      <c r="E91" s="25">
        <f>C91-B91</f>
        <v>56</v>
      </c>
      <c r="F91" s="26">
        <f>E91</f>
        <v>56</v>
      </c>
      <c r="G91" s="77">
        <f>ROUND(F91*$L$1,-3)</f>
        <v>162000</v>
      </c>
      <c r="H91" s="174"/>
      <c r="I91" s="79"/>
      <c r="J91" s="81"/>
      <c r="K91" s="81"/>
      <c r="L91" s="81"/>
      <c r="M91" s="81"/>
      <c r="N91" s="81"/>
      <c r="O91" s="81"/>
    </row>
    <row r="92" spans="1:15" s="23" customFormat="1" ht="16.5" x14ac:dyDescent="0.25">
      <c r="A92" s="110" t="s">
        <v>6</v>
      </c>
      <c r="B92" s="110">
        <f>B89</f>
        <v>943</v>
      </c>
      <c r="C92" s="110">
        <f>C89</f>
        <v>954</v>
      </c>
      <c r="D92" s="186"/>
      <c r="E92" s="111">
        <f>C92-B92</f>
        <v>11</v>
      </c>
      <c r="F92" s="22">
        <f>IF(D91=0,0,(E92/(D91+D88)*D91))</f>
        <v>11</v>
      </c>
      <c r="G92" s="119">
        <f>ROUND(F92*$L$2,-3)</f>
        <v>198000</v>
      </c>
      <c r="H92" s="175"/>
      <c r="I92" s="79"/>
      <c r="J92" s="81"/>
      <c r="K92" s="81"/>
      <c r="L92" s="81"/>
      <c r="M92" s="81"/>
      <c r="N92" s="81"/>
      <c r="O92" s="81"/>
    </row>
    <row r="93" spans="1:15" s="2" customFormat="1" ht="23.25" customHeight="1" x14ac:dyDescent="0.3">
      <c r="A93" s="84" t="s">
        <v>185</v>
      </c>
      <c r="B93" s="120"/>
      <c r="C93" s="120"/>
      <c r="D93" s="120"/>
      <c r="E93" s="86"/>
      <c r="F93" s="87"/>
      <c r="G93" s="120"/>
      <c r="H93" s="173">
        <f t="shared" ref="H93" si="32">ROUND(SUM(G94:G95),-3)</f>
        <v>561000</v>
      </c>
      <c r="I93" s="74"/>
      <c r="J93" s="62"/>
      <c r="K93" s="62"/>
      <c r="L93" s="62"/>
      <c r="M93" s="62"/>
      <c r="N93" s="62"/>
      <c r="O93" s="62"/>
    </row>
    <row r="94" spans="1:15" ht="16.5" x14ac:dyDescent="0.25">
      <c r="A94" s="112" t="s">
        <v>5</v>
      </c>
      <c r="B94" s="112">
        <v>2178</v>
      </c>
      <c r="C94" s="112">
        <v>2266</v>
      </c>
      <c r="D94" s="182">
        <f>VLOOKUP(RIGHT(LEFT(A93,11),4),'so nguoi'!$E$8:$N$21,2,0)</f>
        <v>6</v>
      </c>
      <c r="E94" s="25">
        <f>C94-B94</f>
        <v>88</v>
      </c>
      <c r="F94" s="26">
        <f>E94</f>
        <v>88</v>
      </c>
      <c r="G94" s="77">
        <f>ROUND(F94*$L$1,-3)</f>
        <v>255000</v>
      </c>
      <c r="H94" s="174"/>
      <c r="I94" s="44"/>
      <c r="J94" s="39"/>
      <c r="K94" s="39"/>
      <c r="L94" s="39"/>
      <c r="M94" s="39"/>
      <c r="N94" s="39"/>
      <c r="O94" s="39"/>
    </row>
    <row r="95" spans="1:15" ht="16.5" x14ac:dyDescent="0.25">
      <c r="A95" s="110" t="s">
        <v>6</v>
      </c>
      <c r="B95" s="163">
        <v>726</v>
      </c>
      <c r="C95" s="163">
        <v>743</v>
      </c>
      <c r="D95" s="182"/>
      <c r="E95" s="111">
        <f>C95-B95</f>
        <v>17</v>
      </c>
      <c r="F95" s="22">
        <f>E95</f>
        <v>17</v>
      </c>
      <c r="G95" s="119">
        <f>ROUND(F95*$L$2,-3)</f>
        <v>306000</v>
      </c>
      <c r="H95" s="175"/>
      <c r="I95" s="44"/>
      <c r="J95" s="39"/>
      <c r="K95" s="39"/>
      <c r="L95" s="39"/>
      <c r="M95" s="39"/>
      <c r="N95" s="39"/>
      <c r="O95" s="39"/>
    </row>
    <row r="96" spans="1:15" s="2" customFormat="1" ht="23.25" customHeight="1" x14ac:dyDescent="0.3">
      <c r="A96" s="84" t="s">
        <v>186</v>
      </c>
      <c r="B96" s="120"/>
      <c r="C96" s="120"/>
      <c r="D96" s="120"/>
      <c r="E96" s="86"/>
      <c r="F96" s="87"/>
      <c r="G96" s="121"/>
      <c r="H96" s="176">
        <f t="shared" ref="H96" si="33">ROUND(SUM(G97:G98),-3)</f>
        <v>0</v>
      </c>
      <c r="I96" s="74"/>
      <c r="J96" s="62"/>
      <c r="K96" s="62"/>
      <c r="L96" s="62"/>
      <c r="M96" s="62"/>
      <c r="N96" s="62"/>
      <c r="O96" s="62"/>
    </row>
    <row r="97" spans="1:15" ht="16.5" x14ac:dyDescent="0.25">
      <c r="A97" s="110" t="s">
        <v>5</v>
      </c>
      <c r="B97" s="132">
        <v>3084</v>
      </c>
      <c r="C97" s="132">
        <v>3084</v>
      </c>
      <c r="D97" s="186">
        <f>VLOOKUP(RIGHT(LEFT(A96,11),4),'so nguoi'!$E$8:$N$21,2,0)</f>
        <v>0</v>
      </c>
      <c r="E97" s="25">
        <f>C97-B97</f>
        <v>0</v>
      </c>
      <c r="F97" s="26">
        <f>E97</f>
        <v>0</v>
      </c>
      <c r="G97" s="122">
        <f>ROUND(F97*$L$1,-3)</f>
        <v>0</v>
      </c>
      <c r="H97" s="177"/>
      <c r="I97" s="44"/>
      <c r="J97" s="39"/>
      <c r="K97" s="39"/>
      <c r="L97" s="39"/>
      <c r="M97" s="39"/>
      <c r="N97" s="39"/>
      <c r="O97" s="39"/>
    </row>
    <row r="98" spans="1:15" ht="16.5" x14ac:dyDescent="0.25">
      <c r="A98" s="110" t="s">
        <v>6</v>
      </c>
      <c r="B98" s="110">
        <v>1118</v>
      </c>
      <c r="C98" s="110">
        <v>1118</v>
      </c>
      <c r="D98" s="186"/>
      <c r="E98" s="111">
        <f>C98-B98</f>
        <v>0</v>
      </c>
      <c r="F98" s="22">
        <f>IF(D97=0,0,(E98/(D97+D100)*D97))</f>
        <v>0</v>
      </c>
      <c r="G98" s="123">
        <f>ROUND(F98*$L$2,-3)</f>
        <v>0</v>
      </c>
      <c r="H98" s="178"/>
      <c r="I98" s="44"/>
      <c r="J98" s="39"/>
      <c r="K98" s="39"/>
      <c r="L98" s="39"/>
      <c r="M98" s="39"/>
      <c r="N98" s="39"/>
      <c r="O98" s="39"/>
    </row>
    <row r="99" spans="1:15" s="90" customFormat="1" ht="23.25" customHeight="1" x14ac:dyDescent="0.3">
      <c r="A99" s="84" t="s">
        <v>187</v>
      </c>
      <c r="B99" s="120"/>
      <c r="C99" s="120"/>
      <c r="D99" s="120"/>
      <c r="E99" s="86"/>
      <c r="F99" s="87"/>
      <c r="G99" s="120"/>
      <c r="H99" s="173">
        <f t="shared" ref="H99" si="34">ROUND(SUM(G100:G101),-3)</f>
        <v>0</v>
      </c>
      <c r="I99" s="89"/>
      <c r="J99" s="80"/>
      <c r="K99" s="80"/>
      <c r="L99" s="80"/>
      <c r="M99" s="80"/>
      <c r="N99" s="80"/>
      <c r="O99" s="80"/>
    </row>
    <row r="100" spans="1:15" ht="16.5" x14ac:dyDescent="0.25">
      <c r="A100" s="112" t="s">
        <v>5</v>
      </c>
      <c r="B100" s="131">
        <v>2641</v>
      </c>
      <c r="C100" s="131">
        <v>2641</v>
      </c>
      <c r="D100" s="186">
        <f>VLOOKUP(RIGHT(LEFT(A99,11),4),'so nguoi'!$E$8:$N$21,2,0)</f>
        <v>0</v>
      </c>
      <c r="E100" s="25">
        <f>C100-B100</f>
        <v>0</v>
      </c>
      <c r="F100" s="26">
        <f>E100</f>
        <v>0</v>
      </c>
      <c r="G100" s="77">
        <f>ROUND(F100*$L$1,-3)</f>
        <v>0</v>
      </c>
      <c r="H100" s="174"/>
      <c r="I100" s="44"/>
      <c r="J100" s="39"/>
      <c r="K100" s="39"/>
      <c r="L100" s="39"/>
      <c r="M100" s="39"/>
      <c r="N100" s="39"/>
      <c r="O100" s="39"/>
    </row>
    <row r="101" spans="1:15" ht="16.5" x14ac:dyDescent="0.25">
      <c r="A101" s="110" t="s">
        <v>6</v>
      </c>
      <c r="B101" s="110">
        <f>B98</f>
        <v>1118</v>
      </c>
      <c r="C101" s="110">
        <f>C98</f>
        <v>1118</v>
      </c>
      <c r="D101" s="186"/>
      <c r="E101" s="111">
        <f>C101-B101</f>
        <v>0</v>
      </c>
      <c r="F101" s="22">
        <f>IF(D100=0,0,(E101/(D100+D97)*D100))</f>
        <v>0</v>
      </c>
      <c r="G101" s="119">
        <f>ROUND(F101*$L$2,-3)</f>
        <v>0</v>
      </c>
      <c r="H101" s="175"/>
      <c r="I101" s="44"/>
      <c r="J101" s="39"/>
      <c r="K101" s="39"/>
      <c r="L101" s="39"/>
      <c r="M101" s="39"/>
      <c r="N101" s="39"/>
      <c r="O101" s="39"/>
    </row>
    <row r="102" spans="1:15" s="2" customFormat="1" ht="23.25" customHeight="1" x14ac:dyDescent="0.3">
      <c r="A102" s="84" t="s">
        <v>188</v>
      </c>
      <c r="B102" s="120"/>
      <c r="C102" s="120"/>
      <c r="D102" s="120"/>
      <c r="E102" s="86"/>
      <c r="F102" s="87"/>
      <c r="G102" s="120"/>
      <c r="H102" s="173">
        <f t="shared" ref="H102" si="35">ROUND(SUM(G103:G104),-3)</f>
        <v>425000</v>
      </c>
      <c r="I102" s="74">
        <f>IF(D106=0,SUM(G103:G104)+G106,SUM(G103:G104))</f>
        <v>425000</v>
      </c>
      <c r="J102" s="62">
        <f>IF(D103=0,0,IF(D106=0,SUM(G103:G104)+G106,SUM(G103:G104)))</f>
        <v>425000</v>
      </c>
      <c r="K102" s="62"/>
      <c r="L102" s="62"/>
      <c r="M102" s="62"/>
      <c r="N102" s="62"/>
      <c r="O102" s="62"/>
    </row>
    <row r="103" spans="1:15" ht="16.5" x14ac:dyDescent="0.25">
      <c r="A103" s="112" t="s">
        <v>5</v>
      </c>
      <c r="B103" s="112">
        <v>3352</v>
      </c>
      <c r="C103" s="112">
        <v>3418</v>
      </c>
      <c r="D103" s="182">
        <f>VLOOKUP(RIGHT(LEFT(A102,11),4),'so nguoi'!$E$8:$N$21,2,0)</f>
        <v>5</v>
      </c>
      <c r="E103" s="25">
        <f>C103-B103</f>
        <v>66</v>
      </c>
      <c r="F103" s="26">
        <f>E103</f>
        <v>66</v>
      </c>
      <c r="G103" s="77">
        <f>ROUND(F103*$L$1,-3)</f>
        <v>191000</v>
      </c>
      <c r="H103" s="174"/>
      <c r="I103" s="44"/>
      <c r="J103" s="39"/>
      <c r="K103" s="39"/>
      <c r="L103" s="39"/>
      <c r="M103" s="39"/>
      <c r="N103" s="39"/>
      <c r="O103" s="39"/>
    </row>
    <row r="104" spans="1:15" ht="16.5" x14ac:dyDescent="0.25">
      <c r="A104" s="110" t="s">
        <v>6</v>
      </c>
      <c r="B104" s="110">
        <v>1399</v>
      </c>
      <c r="C104" s="132">
        <v>1425</v>
      </c>
      <c r="D104" s="182"/>
      <c r="E104" s="111">
        <f>C104-B104</f>
        <v>26</v>
      </c>
      <c r="F104" s="22">
        <f>IF(D103=0,0,(E104/(D103+D106)*D103))</f>
        <v>13</v>
      </c>
      <c r="G104" s="119">
        <f>ROUND(F104*$L$2,-3)</f>
        <v>234000</v>
      </c>
      <c r="H104" s="175"/>
      <c r="I104" s="44"/>
      <c r="J104" s="39"/>
      <c r="K104" s="39"/>
      <c r="L104" s="39"/>
      <c r="M104" s="39"/>
      <c r="N104" s="39"/>
      <c r="O104" s="39"/>
    </row>
    <row r="105" spans="1:15" s="2" customFormat="1" ht="23.25" customHeight="1" x14ac:dyDescent="0.3">
      <c r="A105" s="84" t="s">
        <v>189</v>
      </c>
      <c r="B105" s="120"/>
      <c r="C105" s="120"/>
      <c r="D105" s="120"/>
      <c r="E105" s="86"/>
      <c r="F105" s="87"/>
      <c r="G105" s="120"/>
      <c r="H105" s="173">
        <f t="shared" ref="H105" si="36">ROUND(SUM(G106:G107),-3)</f>
        <v>620000</v>
      </c>
      <c r="I105" s="74"/>
      <c r="J105" s="62"/>
      <c r="K105" s="62"/>
      <c r="L105" s="62"/>
      <c r="M105" s="62"/>
      <c r="N105" s="62"/>
      <c r="O105" s="62"/>
    </row>
    <row r="106" spans="1:15" ht="16.5" x14ac:dyDescent="0.25">
      <c r="A106" s="112" t="s">
        <v>5</v>
      </c>
      <c r="B106" s="131">
        <v>2986</v>
      </c>
      <c r="C106" s="168">
        <v>3119</v>
      </c>
      <c r="D106" s="186">
        <f>VLOOKUP(RIGHT(LEFT(A105,11),4),'so nguoi'!$E$8:$N$21,2,0)</f>
        <v>5</v>
      </c>
      <c r="E106" s="25">
        <f>C106-B106</f>
        <v>133</v>
      </c>
      <c r="F106" s="26">
        <f>E106</f>
        <v>133</v>
      </c>
      <c r="G106" s="77">
        <f>ROUND(F106*$L$1,-3)</f>
        <v>386000</v>
      </c>
      <c r="H106" s="174"/>
      <c r="I106" s="44"/>
      <c r="J106" s="39"/>
      <c r="K106" s="39"/>
      <c r="L106" s="39"/>
      <c r="M106" s="39"/>
      <c r="N106" s="39"/>
      <c r="O106" s="39"/>
    </row>
    <row r="107" spans="1:15" ht="16.5" x14ac:dyDescent="0.25">
      <c r="A107" s="110" t="s">
        <v>6</v>
      </c>
      <c r="B107" s="110">
        <f>B104</f>
        <v>1399</v>
      </c>
      <c r="C107" s="110">
        <f>C104</f>
        <v>1425</v>
      </c>
      <c r="D107" s="186"/>
      <c r="E107" s="111">
        <f>C107-B107</f>
        <v>26</v>
      </c>
      <c r="F107" s="22">
        <f>IF(D106=0,0,(E107/(D106+D103)*D106))</f>
        <v>13</v>
      </c>
      <c r="G107" s="119">
        <f>ROUND(F107*$L$2,-3)</f>
        <v>234000</v>
      </c>
      <c r="H107" s="175"/>
      <c r="I107" s="44"/>
      <c r="J107" s="39"/>
      <c r="K107" s="39"/>
      <c r="L107" s="39"/>
      <c r="M107" s="39"/>
      <c r="N107" s="39"/>
      <c r="O107" s="39"/>
    </row>
    <row r="108" spans="1:15" s="2" customFormat="1" ht="23.25" customHeight="1" x14ac:dyDescent="0.3">
      <c r="A108" s="84" t="s">
        <v>190</v>
      </c>
      <c r="B108" s="120"/>
      <c r="C108" s="120"/>
      <c r="D108" s="120"/>
      <c r="E108" s="86"/>
      <c r="F108" s="87"/>
      <c r="G108" s="120"/>
      <c r="H108" s="173">
        <f t="shared" ref="H108" si="37">ROUND(SUM(G109:G110),-3)</f>
        <v>499000</v>
      </c>
      <c r="I108" s="74"/>
      <c r="J108" s="62"/>
      <c r="K108" s="62"/>
      <c r="L108" s="62"/>
      <c r="M108" s="62"/>
      <c r="N108" s="62"/>
      <c r="O108" s="62"/>
    </row>
    <row r="109" spans="1:15" ht="16.5" x14ac:dyDescent="0.25">
      <c r="A109" s="112" t="s">
        <v>5</v>
      </c>
      <c r="B109" s="112">
        <v>4608</v>
      </c>
      <c r="C109" s="112">
        <v>4718</v>
      </c>
      <c r="D109" s="182">
        <f>VLOOKUP(RIGHT(LEFT(A108,11),4),'so nguoi'!$E$8:$N$21,2,0)</f>
        <v>6</v>
      </c>
      <c r="E109" s="25">
        <f>C109-B109</f>
        <v>110</v>
      </c>
      <c r="F109" s="26">
        <f>E109</f>
        <v>110</v>
      </c>
      <c r="G109" s="77">
        <f>ROUND(F109*$L$1,-3)</f>
        <v>319000</v>
      </c>
      <c r="H109" s="174"/>
      <c r="I109" s="44"/>
      <c r="J109" s="39"/>
      <c r="K109" s="39"/>
      <c r="L109" s="39"/>
      <c r="M109" s="39"/>
      <c r="N109" s="39"/>
      <c r="O109" s="39"/>
    </row>
    <row r="110" spans="1:15" s="106" customFormat="1" ht="16.5" x14ac:dyDescent="0.25">
      <c r="A110" s="110" t="s">
        <v>6</v>
      </c>
      <c r="B110" s="110">
        <v>1201</v>
      </c>
      <c r="C110" s="110">
        <v>1221</v>
      </c>
      <c r="D110" s="182"/>
      <c r="E110" s="111">
        <f>C110-B110</f>
        <v>20</v>
      </c>
      <c r="F110" s="22">
        <f>IF(D109=0,0,(E110/(D109+D112)*D109))</f>
        <v>10</v>
      </c>
      <c r="G110" s="119">
        <f>ROUND(F110*$L$2,-3)</f>
        <v>180000</v>
      </c>
      <c r="H110" s="175"/>
      <c r="I110" s="107"/>
      <c r="J110" s="105"/>
      <c r="K110" s="105"/>
      <c r="L110" s="105"/>
      <c r="M110" s="105"/>
      <c r="N110" s="105"/>
      <c r="O110" s="105"/>
    </row>
    <row r="111" spans="1:15" s="2" customFormat="1" ht="23.25" customHeight="1" x14ac:dyDescent="0.3">
      <c r="A111" s="84" t="s">
        <v>191</v>
      </c>
      <c r="B111" s="120"/>
      <c r="C111" s="120"/>
      <c r="D111" s="120"/>
      <c r="E111" s="86"/>
      <c r="F111" s="87"/>
      <c r="G111" s="120"/>
      <c r="H111" s="173">
        <f t="shared" ref="H111" si="38">ROUND(SUM(G112:G113),-3)</f>
        <v>360000</v>
      </c>
      <c r="I111" s="74"/>
      <c r="J111" s="62"/>
      <c r="K111" s="62"/>
      <c r="L111" s="62"/>
      <c r="M111" s="62"/>
      <c r="N111" s="62"/>
      <c r="O111" s="62"/>
    </row>
    <row r="112" spans="1:15" ht="16.5" x14ac:dyDescent="0.25">
      <c r="A112" s="112" t="s">
        <v>5</v>
      </c>
      <c r="B112" s="112">
        <v>1959</v>
      </c>
      <c r="C112" s="112">
        <v>2021</v>
      </c>
      <c r="D112" s="182">
        <f>VLOOKUP(RIGHT(LEFT(A111,11),4),'so nguoi'!$E$8:$N$21,2,0)</f>
        <v>6</v>
      </c>
      <c r="E112" s="25">
        <f>C112-B112</f>
        <v>62</v>
      </c>
      <c r="F112" s="26">
        <f>E112</f>
        <v>62</v>
      </c>
      <c r="G112" s="77">
        <f>ROUND(F112*$L$1,-3)</f>
        <v>180000</v>
      </c>
      <c r="H112" s="174"/>
      <c r="I112" s="44"/>
      <c r="J112" s="39"/>
      <c r="K112" s="39"/>
      <c r="L112" s="39"/>
      <c r="M112" s="39"/>
      <c r="N112" s="39"/>
      <c r="O112" s="39"/>
    </row>
    <row r="113" spans="1:15" s="106" customFormat="1" ht="16.5" x14ac:dyDescent="0.25">
      <c r="A113" s="110" t="s">
        <v>6</v>
      </c>
      <c r="B113" s="110">
        <f>B110</f>
        <v>1201</v>
      </c>
      <c r="C113" s="110">
        <f>C110</f>
        <v>1221</v>
      </c>
      <c r="D113" s="182"/>
      <c r="E113" s="111">
        <f>C113-B113</f>
        <v>20</v>
      </c>
      <c r="F113" s="22">
        <f>IF(D112=0,0,(E113/(D112+D109)*D112))</f>
        <v>10</v>
      </c>
      <c r="G113" s="119">
        <f>ROUND(F113*$L$2,-3)</f>
        <v>180000</v>
      </c>
      <c r="H113" s="175"/>
      <c r="I113" s="107">
        <f>SUM(H66:H113)</f>
        <v>4586000</v>
      </c>
      <c r="J113" s="105"/>
      <c r="K113" s="105"/>
      <c r="L113" s="105"/>
      <c r="M113" s="105"/>
      <c r="N113" s="105"/>
      <c r="O113" s="105"/>
    </row>
    <row r="114" spans="1:15" s="109" customFormat="1" ht="23.25" customHeight="1" x14ac:dyDescent="0.3">
      <c r="A114" s="84" t="s">
        <v>198</v>
      </c>
      <c r="B114" s="120"/>
      <c r="C114" s="120"/>
      <c r="D114" s="120"/>
      <c r="E114" s="86"/>
      <c r="F114" s="87"/>
      <c r="G114" s="120"/>
      <c r="H114" s="173">
        <f t="shared" ref="H114" si="39">ROUND(SUM(G115:G116),-3)</f>
        <v>172000</v>
      </c>
      <c r="I114" s="118"/>
      <c r="J114" s="115"/>
      <c r="K114" s="115"/>
      <c r="L114" s="115"/>
      <c r="M114" s="115"/>
      <c r="N114" s="115"/>
      <c r="O114" s="115"/>
    </row>
    <row r="115" spans="1:15" s="108" customFormat="1" ht="16.5" x14ac:dyDescent="0.25">
      <c r="A115" s="112" t="s">
        <v>5</v>
      </c>
      <c r="B115" s="112">
        <v>7161</v>
      </c>
      <c r="C115" s="112">
        <v>7183</v>
      </c>
      <c r="D115" s="182">
        <f>VLOOKUP(RIGHT(LEFT(A114,11),4),'so nguoi'!$E$8:$N$21,2,0)</f>
        <v>4</v>
      </c>
      <c r="E115" s="25">
        <f>C115-B115</f>
        <v>22</v>
      </c>
      <c r="F115" s="26">
        <f>E115</f>
        <v>22</v>
      </c>
      <c r="G115" s="77">
        <f>ROUND(F115*$L$1,-3)</f>
        <v>64000</v>
      </c>
      <c r="H115" s="174"/>
      <c r="I115" s="114"/>
      <c r="J115" s="113"/>
      <c r="K115" s="113"/>
      <c r="L115" s="113"/>
      <c r="M115" s="113"/>
      <c r="N115" s="113"/>
      <c r="O115" s="113"/>
    </row>
    <row r="116" spans="1:15" s="106" customFormat="1" ht="16.5" x14ac:dyDescent="0.25">
      <c r="A116" s="110" t="s">
        <v>6</v>
      </c>
      <c r="B116" s="110">
        <v>4135</v>
      </c>
      <c r="C116" s="132">
        <v>4141</v>
      </c>
      <c r="D116" s="182"/>
      <c r="E116" s="111">
        <f>C116-B116</f>
        <v>6</v>
      </c>
      <c r="F116" s="22">
        <f>IF(D115=0,0,(E116/(D115+D118)*D115))</f>
        <v>6</v>
      </c>
      <c r="G116" s="119">
        <f>ROUND(F116*$L$2,-3)</f>
        <v>108000</v>
      </c>
      <c r="H116" s="175"/>
      <c r="I116" s="107"/>
      <c r="J116" s="105"/>
      <c r="K116" s="105"/>
      <c r="L116" s="105"/>
      <c r="M116" s="105"/>
      <c r="N116" s="105"/>
      <c r="O116" s="105"/>
    </row>
    <row r="117" spans="1:15" s="109" customFormat="1" ht="23.25" customHeight="1" x14ac:dyDescent="0.3">
      <c r="A117" s="84" t="s">
        <v>199</v>
      </c>
      <c r="B117" s="120"/>
      <c r="C117" s="120"/>
      <c r="D117" s="120"/>
      <c r="E117" s="86"/>
      <c r="F117" s="87"/>
      <c r="G117" s="120"/>
      <c r="H117" s="173">
        <f t="shared" ref="H117" si="40">ROUND(SUM(G118:G119),-3)</f>
        <v>0</v>
      </c>
      <c r="I117" s="118"/>
      <c r="J117" s="115"/>
      <c r="K117" s="115"/>
      <c r="L117" s="115"/>
      <c r="M117" s="115"/>
      <c r="N117" s="115"/>
      <c r="O117" s="115"/>
    </row>
    <row r="118" spans="1:15" s="108" customFormat="1" ht="16.5" x14ac:dyDescent="0.25">
      <c r="A118" s="112" t="s">
        <v>5</v>
      </c>
      <c r="B118" s="112">
        <v>6652</v>
      </c>
      <c r="C118" s="112">
        <v>6652</v>
      </c>
      <c r="D118" s="182">
        <f>VLOOKUP(RIGHT(LEFT(A117,11),4),'so nguoi'!$E$8:$N$21,2,0)</f>
        <v>0</v>
      </c>
      <c r="E118" s="25">
        <f>C118-B118</f>
        <v>0</v>
      </c>
      <c r="F118" s="26">
        <f>E118</f>
        <v>0</v>
      </c>
      <c r="G118" s="77">
        <f>ROUND(F118*$L$1,-3)</f>
        <v>0</v>
      </c>
      <c r="H118" s="174"/>
      <c r="I118" s="114"/>
      <c r="J118" s="113"/>
      <c r="K118" s="113"/>
      <c r="L118" s="113"/>
      <c r="M118" s="113"/>
      <c r="N118" s="113"/>
      <c r="O118" s="113"/>
    </row>
    <row r="119" spans="1:15" s="106" customFormat="1" ht="16.5" x14ac:dyDescent="0.25">
      <c r="A119" s="110" t="s">
        <v>6</v>
      </c>
      <c r="B119" s="110">
        <f>B116</f>
        <v>4135</v>
      </c>
      <c r="C119" s="110">
        <f>C116</f>
        <v>4141</v>
      </c>
      <c r="D119" s="182"/>
      <c r="E119" s="111">
        <f>C119-B119</f>
        <v>6</v>
      </c>
      <c r="F119" s="22">
        <f>IF(D118=0,0,(E119/(D118+D115)*D118))</f>
        <v>0</v>
      </c>
      <c r="G119" s="119">
        <f>ROUND(F119*$L$2,-3)</f>
        <v>0</v>
      </c>
      <c r="H119" s="175"/>
      <c r="I119" s="107">
        <f>SUM(H72:H119)</f>
        <v>4301000</v>
      </c>
      <c r="J119" s="105"/>
      <c r="K119" s="105"/>
      <c r="L119" s="105"/>
      <c r="M119" s="105"/>
      <c r="N119" s="105"/>
      <c r="O119" s="105"/>
    </row>
    <row r="120" spans="1:15" s="109" customFormat="1" ht="23.25" customHeight="1" x14ac:dyDescent="0.3">
      <c r="A120" s="84" t="s">
        <v>200</v>
      </c>
      <c r="B120" s="120"/>
      <c r="C120" s="120"/>
      <c r="D120" s="120"/>
      <c r="E120" s="86"/>
      <c r="F120" s="87"/>
      <c r="G120" s="120"/>
      <c r="H120" s="173">
        <f t="shared" ref="H120" si="41">ROUND(SUM(G121:G122),-3)</f>
        <v>633000</v>
      </c>
      <c r="I120" s="118"/>
      <c r="J120" s="115"/>
      <c r="K120" s="115"/>
      <c r="L120" s="115"/>
      <c r="M120" s="115"/>
      <c r="N120" s="115"/>
      <c r="O120" s="115"/>
    </row>
    <row r="121" spans="1:15" s="108" customFormat="1" ht="16.5" x14ac:dyDescent="0.25">
      <c r="A121" s="112" t="s">
        <v>5</v>
      </c>
      <c r="B121" s="168">
        <v>226</v>
      </c>
      <c r="C121" s="168">
        <v>314</v>
      </c>
      <c r="D121" s="186">
        <f>VLOOKUP(RIGHT(LEFT(A120,11),4),'so nguoi'!$E$8:$N$21,2,0)</f>
        <v>6</v>
      </c>
      <c r="E121" s="25">
        <f>C121-B121</f>
        <v>88</v>
      </c>
      <c r="F121" s="26">
        <f>E121</f>
        <v>88</v>
      </c>
      <c r="G121" s="77">
        <f>ROUND(F121*$L$1,-3)</f>
        <v>255000</v>
      </c>
      <c r="H121" s="174"/>
      <c r="I121" s="114"/>
      <c r="J121" s="113"/>
      <c r="K121" s="113"/>
      <c r="L121" s="113"/>
      <c r="M121" s="113"/>
      <c r="N121" s="113"/>
      <c r="O121" s="113"/>
    </row>
    <row r="122" spans="1:15" s="106" customFormat="1" ht="16.5" x14ac:dyDescent="0.25">
      <c r="A122" s="110" t="s">
        <v>6</v>
      </c>
      <c r="B122" s="132">
        <v>3577</v>
      </c>
      <c r="C122" s="132">
        <v>3619</v>
      </c>
      <c r="D122" s="186"/>
      <c r="E122" s="111">
        <f>C122-B122</f>
        <v>42</v>
      </c>
      <c r="F122" s="22">
        <f>IF(D121=0,0,(E122/(D121+D124)*D121))</f>
        <v>21</v>
      </c>
      <c r="G122" s="119">
        <f>ROUND(F122*$L$2,-3)</f>
        <v>378000</v>
      </c>
      <c r="H122" s="175"/>
      <c r="I122" s="107"/>
      <c r="J122" s="105"/>
      <c r="K122" s="105"/>
      <c r="L122" s="105"/>
      <c r="M122" s="105"/>
      <c r="N122" s="105"/>
      <c r="O122" s="105"/>
    </row>
    <row r="123" spans="1:15" s="109" customFormat="1" ht="23.25" customHeight="1" x14ac:dyDescent="0.3">
      <c r="A123" s="84" t="s">
        <v>201</v>
      </c>
      <c r="B123" s="120"/>
      <c r="C123" s="120"/>
      <c r="D123" s="120"/>
      <c r="E123" s="86"/>
      <c r="F123" s="87"/>
      <c r="G123" s="120"/>
      <c r="H123" s="173">
        <f t="shared" ref="H123" si="42">ROUND(SUM(G124:G125),-3)</f>
        <v>584000</v>
      </c>
      <c r="I123" s="118"/>
      <c r="J123" s="115"/>
      <c r="K123" s="115"/>
      <c r="L123" s="115"/>
      <c r="M123" s="115"/>
      <c r="N123" s="115"/>
      <c r="O123" s="115"/>
    </row>
    <row r="124" spans="1:15" s="108" customFormat="1" ht="16.5" x14ac:dyDescent="0.25">
      <c r="A124" s="112" t="s">
        <v>5</v>
      </c>
      <c r="B124" s="131">
        <v>7349</v>
      </c>
      <c r="C124" s="131">
        <v>7420</v>
      </c>
      <c r="D124" s="186">
        <f>VLOOKUP(RIGHT(LEFT(A123,11),4),'so nguoi'!$E$8:$N$21,2,0)</f>
        <v>6</v>
      </c>
      <c r="E124" s="25">
        <f>C124-B124</f>
        <v>71</v>
      </c>
      <c r="F124" s="26">
        <f>E124</f>
        <v>71</v>
      </c>
      <c r="G124" s="77">
        <f>ROUND(F124*$L$1,-3)</f>
        <v>206000</v>
      </c>
      <c r="H124" s="174"/>
      <c r="I124" s="114"/>
      <c r="J124" s="113"/>
      <c r="K124" s="113"/>
      <c r="L124" s="113"/>
      <c r="M124" s="113"/>
      <c r="N124" s="113"/>
      <c r="O124" s="113"/>
    </row>
    <row r="125" spans="1:15" s="106" customFormat="1" ht="16.5" x14ac:dyDescent="0.25">
      <c r="A125" s="110" t="s">
        <v>6</v>
      </c>
      <c r="B125" s="110">
        <f>B122</f>
        <v>3577</v>
      </c>
      <c r="C125" s="110">
        <f>C122</f>
        <v>3619</v>
      </c>
      <c r="D125" s="186"/>
      <c r="E125" s="111">
        <f>C125-B125</f>
        <v>42</v>
      </c>
      <c r="F125" s="22">
        <f>IF(D124=0,0,(E125/(D124+D121)*D124))</f>
        <v>21</v>
      </c>
      <c r="G125" s="119">
        <f>ROUND(F125*$L$2,-3)</f>
        <v>378000</v>
      </c>
      <c r="H125" s="175"/>
      <c r="I125" s="107">
        <f>SUM(H78:H125)</f>
        <v>4890000</v>
      </c>
      <c r="J125" s="105"/>
      <c r="K125" s="105"/>
      <c r="L125" s="105"/>
      <c r="M125" s="105"/>
      <c r="N125" s="105"/>
      <c r="O125" s="105"/>
    </row>
    <row r="126" spans="1:15" s="109" customFormat="1" ht="23.25" customHeight="1" x14ac:dyDescent="0.3">
      <c r="A126" s="84" t="s">
        <v>202</v>
      </c>
      <c r="B126" s="120"/>
      <c r="C126" s="120"/>
      <c r="D126" s="120"/>
      <c r="E126" s="86"/>
      <c r="F126" s="87"/>
      <c r="G126" s="120"/>
      <c r="H126" s="173">
        <f t="shared" ref="H126" si="43">ROUND(SUM(G127:G128),-3)</f>
        <v>530000</v>
      </c>
      <c r="I126" s="118"/>
      <c r="J126" s="115"/>
      <c r="K126" s="115"/>
      <c r="L126" s="115"/>
      <c r="M126" s="115"/>
      <c r="N126" s="115"/>
      <c r="O126" s="115"/>
    </row>
    <row r="127" spans="1:15" s="108" customFormat="1" ht="16.5" x14ac:dyDescent="0.25">
      <c r="A127" s="112" t="s">
        <v>5</v>
      </c>
      <c r="B127" s="112">
        <v>3465</v>
      </c>
      <c r="C127" s="131">
        <v>3581</v>
      </c>
      <c r="D127" s="182">
        <f>VLOOKUP(RIGHT(LEFT(A126,11),4),'so nguoi'!$E$8:$N$21,2,0)</f>
        <v>7</v>
      </c>
      <c r="E127" s="25">
        <f>C127-B127</f>
        <v>116</v>
      </c>
      <c r="F127" s="26">
        <f>E127</f>
        <v>116</v>
      </c>
      <c r="G127" s="77">
        <f>ROUND(F127*$L$1,-3)</f>
        <v>336000</v>
      </c>
      <c r="H127" s="174"/>
      <c r="I127" s="114"/>
      <c r="J127" s="113"/>
      <c r="K127" s="113"/>
      <c r="L127" s="113"/>
      <c r="M127" s="113"/>
      <c r="N127" s="113"/>
      <c r="O127" s="113"/>
    </row>
    <row r="128" spans="1:15" s="106" customFormat="1" ht="16.5" x14ac:dyDescent="0.25">
      <c r="A128" s="110" t="s">
        <v>6</v>
      </c>
      <c r="B128" s="163">
        <v>2238</v>
      </c>
      <c r="C128" s="163">
        <v>2258</v>
      </c>
      <c r="D128" s="182"/>
      <c r="E128" s="111">
        <f>C128-B128</f>
        <v>20</v>
      </c>
      <c r="F128" s="22">
        <f>IF(D127=0,0,(E128/(D127+D124)*D127))</f>
        <v>10.76923076923077</v>
      </c>
      <c r="G128" s="119">
        <f>ROUND(F128*$L$2,-3)</f>
        <v>194000</v>
      </c>
      <c r="H128" s="175"/>
      <c r="I128" s="107">
        <f>SUM(H81:H128)</f>
        <v>5094000</v>
      </c>
      <c r="J128" s="105"/>
      <c r="K128" s="105"/>
      <c r="L128" s="167"/>
      <c r="M128" s="105"/>
      <c r="N128" s="105"/>
      <c r="O128" s="105"/>
    </row>
    <row r="129" spans="1:15" s="109" customFormat="1" ht="23.25" customHeight="1" x14ac:dyDescent="0.3">
      <c r="A129" s="84" t="s">
        <v>203</v>
      </c>
      <c r="B129" s="120"/>
      <c r="C129" s="120"/>
      <c r="D129" s="120"/>
      <c r="E129" s="86"/>
      <c r="F129" s="87"/>
      <c r="G129" s="121"/>
      <c r="H129" s="124">
        <f>ROUND(SUM(G130:G131),-3)</f>
        <v>83000</v>
      </c>
      <c r="I129" s="118">
        <f>SUM(H9:H129)</f>
        <v>14248000</v>
      </c>
      <c r="J129" s="115"/>
      <c r="K129" s="115"/>
      <c r="L129" s="115"/>
      <c r="M129" s="115"/>
      <c r="N129" s="115"/>
      <c r="O129" s="115"/>
    </row>
    <row r="130" spans="1:15" s="108" customFormat="1" ht="16.5" x14ac:dyDescent="0.25">
      <c r="A130" s="112" t="s">
        <v>5</v>
      </c>
      <c r="B130" s="112">
        <v>2499</v>
      </c>
      <c r="C130" s="112">
        <v>2509</v>
      </c>
      <c r="D130" s="182">
        <f>VLOOKUP(RIGHT(LEFT(A129,11),4),'so nguoi'!$E$8:$N$25,2,0)</f>
        <v>1</v>
      </c>
      <c r="E130" s="25">
        <f>C130-B130</f>
        <v>10</v>
      </c>
      <c r="F130" s="26">
        <f>E130</f>
        <v>10</v>
      </c>
      <c r="G130" s="77">
        <f>ROUND(F130*$L$1,-3)</f>
        <v>29000</v>
      </c>
      <c r="H130" s="140"/>
      <c r="I130" s="114"/>
      <c r="J130" s="113"/>
      <c r="K130" s="113"/>
      <c r="L130" s="113"/>
      <c r="M130" s="113"/>
      <c r="N130" s="116"/>
      <c r="O130" s="113"/>
    </row>
    <row r="131" spans="1:15" s="23" customFormat="1" ht="16.5" x14ac:dyDescent="0.25">
      <c r="A131" s="110" t="s">
        <v>6</v>
      </c>
      <c r="B131" s="110">
        <v>988</v>
      </c>
      <c r="C131" s="110">
        <v>991</v>
      </c>
      <c r="D131" s="182"/>
      <c r="E131" s="111">
        <f>C131-B131</f>
        <v>3</v>
      </c>
      <c r="F131" s="22">
        <f>E131</f>
        <v>3</v>
      </c>
      <c r="G131" s="119">
        <f>ROUND(F131*$L$2,-3)</f>
        <v>54000</v>
      </c>
      <c r="H131" s="104"/>
      <c r="I131" s="79">
        <f>SUM(H9:H131)</f>
        <v>14248000</v>
      </c>
      <c r="J131" s="81"/>
      <c r="K131" s="81"/>
      <c r="L131" s="81"/>
      <c r="M131" s="81"/>
      <c r="N131" s="81"/>
      <c r="O131" s="81"/>
    </row>
    <row r="132" spans="1:15" ht="24" customHeight="1" x14ac:dyDescent="0.25">
      <c r="A132" s="191" t="s">
        <v>11</v>
      </c>
      <c r="B132" s="192"/>
      <c r="C132" s="192"/>
      <c r="D132" s="192"/>
      <c r="E132" s="192"/>
      <c r="F132" s="193"/>
      <c r="G132" s="37">
        <f ca="1">ROUND(SUMIF($A$8:$F$131,"Điện",G8:G131),-3)</f>
        <v>6872000</v>
      </c>
      <c r="H132" s="37">
        <f ca="1">SUMIF($A$8:$F$131,"Điện",F8:F131)</f>
        <v>2370</v>
      </c>
      <c r="I132" s="63">
        <f ca="1">H132*2200</f>
        <v>5214000</v>
      </c>
      <c r="J132" s="39"/>
      <c r="K132" s="39"/>
      <c r="L132" s="39"/>
      <c r="M132" s="39"/>
      <c r="N132" s="39"/>
      <c r="O132" s="39"/>
    </row>
    <row r="133" spans="1:15" ht="30" customHeight="1" x14ac:dyDescent="0.25">
      <c r="A133" s="191" t="s">
        <v>12</v>
      </c>
      <c r="B133" s="192"/>
      <c r="C133" s="192"/>
      <c r="D133" s="192"/>
      <c r="E133" s="192"/>
      <c r="F133" s="193"/>
      <c r="G133" s="37">
        <f ca="1">ROUND(SUMIF($A$8:$F$131,"Nước",G8:G131),-3)</f>
        <v>7376000</v>
      </c>
      <c r="H133" s="37">
        <f ca="1">SUMIF($A$9:$E$131,A65,$F$9:$F$131)</f>
        <v>409.76923076923077</v>
      </c>
      <c r="I133" s="63">
        <f ca="1">H133*15000</f>
        <v>6146538.461538462</v>
      </c>
      <c r="J133" s="39"/>
      <c r="K133" s="39"/>
      <c r="L133" s="39"/>
      <c r="M133" s="39"/>
      <c r="N133" s="39"/>
      <c r="O133" s="39"/>
    </row>
    <row r="134" spans="1:15" ht="28.15" customHeight="1" x14ac:dyDescent="0.25">
      <c r="A134" s="191" t="s">
        <v>13</v>
      </c>
      <c r="B134" s="192"/>
      <c r="C134" s="192"/>
      <c r="D134" s="192"/>
      <c r="E134" s="192"/>
      <c r="F134" s="193"/>
      <c r="G134" s="37">
        <f ca="1">SUM(G132:G133)</f>
        <v>14248000</v>
      </c>
      <c r="H134" s="38"/>
      <c r="I134" s="63">
        <f ca="1">I132+I133</f>
        <v>11360538.461538462</v>
      </c>
      <c r="J134" s="63">
        <f ca="1">I134-G134</f>
        <v>-2887461.538461538</v>
      </c>
      <c r="K134" s="39"/>
      <c r="L134" s="39"/>
      <c r="M134" s="39"/>
      <c r="N134" s="164"/>
      <c r="O134" s="39"/>
    </row>
    <row r="135" spans="1:15" x14ac:dyDescent="0.25">
      <c r="A135" s="39"/>
      <c r="B135" s="113"/>
      <c r="C135" s="113"/>
      <c r="D135" s="40"/>
      <c r="E135" s="41"/>
      <c r="F135" s="194" t="str">
        <f ca="1">" TP. Hồ Chí Minh, ngày "&amp;DAY(NOW())&amp;" tháng "&amp;MONTH(NOW())&amp;" năm "&amp;YEAR(NOW())</f>
        <v xml:space="preserve"> TP. Hồ Chí Minh, ngày 5 tháng 5 năm 2021</v>
      </c>
      <c r="G135" s="194"/>
      <c r="H135" s="194"/>
      <c r="I135" s="44"/>
      <c r="J135" s="63"/>
      <c r="K135" s="63"/>
      <c r="L135" s="116"/>
      <c r="M135" s="39"/>
      <c r="N135" s="116"/>
      <c r="O135" s="39"/>
    </row>
    <row r="136" spans="1:15" x14ac:dyDescent="0.25">
      <c r="A136" s="195" t="s">
        <v>15</v>
      </c>
      <c r="B136" s="195"/>
      <c r="C136" s="195"/>
      <c r="D136" s="40"/>
      <c r="E136" s="41"/>
      <c r="F136" s="196" t="s">
        <v>14</v>
      </c>
      <c r="G136" s="196"/>
      <c r="H136" s="196"/>
      <c r="I136" s="44">
        <f ca="1">G134/2</f>
        <v>7124000</v>
      </c>
      <c r="J136" s="63"/>
      <c r="K136" s="39"/>
      <c r="L136" s="39"/>
      <c r="M136" s="39"/>
      <c r="N136" s="39"/>
      <c r="O136" s="39"/>
    </row>
    <row r="137" spans="1:15" x14ac:dyDescent="0.25">
      <c r="A137" s="39"/>
      <c r="B137" s="113"/>
      <c r="C137" s="113"/>
      <c r="D137" s="40"/>
      <c r="E137" s="145"/>
      <c r="F137" s="145"/>
      <c r="G137" s="125"/>
      <c r="H137" s="44"/>
    </row>
    <row r="138" spans="1:15" x14ac:dyDescent="0.25">
      <c r="A138" s="39"/>
      <c r="B138" s="113"/>
      <c r="C138" s="113"/>
      <c r="D138" s="40"/>
      <c r="E138" s="145"/>
      <c r="F138" s="145"/>
      <c r="G138" s="125"/>
      <c r="H138" s="39"/>
    </row>
    <row r="139" spans="1:15" x14ac:dyDescent="0.25">
      <c r="A139" s="39"/>
      <c r="B139" s="113"/>
      <c r="C139" s="113"/>
      <c r="D139" s="40"/>
      <c r="E139" s="145"/>
      <c r="F139" s="125"/>
      <c r="G139" s="45"/>
      <c r="H139" s="39"/>
    </row>
    <row r="140" spans="1:15" x14ac:dyDescent="0.25">
      <c r="A140" s="187" t="s">
        <v>236</v>
      </c>
      <c r="B140" s="187"/>
      <c r="C140" s="187"/>
      <c r="D140" s="40"/>
      <c r="E140" s="41"/>
      <c r="F140" s="188" t="s">
        <v>144</v>
      </c>
      <c r="G140" s="188"/>
      <c r="H140" s="188"/>
    </row>
    <row r="141" spans="1:15" ht="24.4" customHeight="1" x14ac:dyDescent="0.25">
      <c r="A141" s="1"/>
      <c r="I141"/>
    </row>
    <row r="142" spans="1:15" ht="28.15" customHeight="1" x14ac:dyDescent="0.25">
      <c r="A142" s="189"/>
      <c r="B142" s="189"/>
      <c r="D142"/>
      <c r="E142"/>
      <c r="F142" s="23"/>
      <c r="G142"/>
      <c r="I142"/>
    </row>
    <row r="143" spans="1:15" ht="24.4" customHeight="1" x14ac:dyDescent="0.25">
      <c r="D143"/>
      <c r="E143"/>
      <c r="F143" s="23"/>
      <c r="G143"/>
      <c r="I143"/>
    </row>
    <row r="144" spans="1:15" ht="30" customHeight="1" x14ac:dyDescent="0.25">
      <c r="I144"/>
    </row>
    <row r="145" spans="1:9" ht="28.15" customHeight="1" x14ac:dyDescent="0.25">
      <c r="I145"/>
    </row>
    <row r="146" spans="1:9" ht="24.4" customHeight="1" x14ac:dyDescent="0.25">
      <c r="I146"/>
    </row>
    <row r="147" spans="1:9" ht="27.75" customHeight="1" x14ac:dyDescent="0.25">
      <c r="I147"/>
    </row>
    <row r="148" spans="1:9" ht="28.15" customHeight="1" x14ac:dyDescent="0.25">
      <c r="I148"/>
    </row>
    <row r="149" spans="1:9" s="2" customFormat="1" ht="24.4" customHeight="1" x14ac:dyDescent="0.25">
      <c r="A149"/>
      <c r="B149" s="108"/>
      <c r="C149" s="108"/>
      <c r="D149" s="4"/>
      <c r="E149" s="3"/>
      <c r="F149" s="127"/>
      <c r="G149" s="3"/>
      <c r="H149"/>
    </row>
    <row r="150" spans="1:9" ht="30" customHeight="1" x14ac:dyDescent="0.25">
      <c r="I150"/>
    </row>
    <row r="151" spans="1:9" ht="28.15" customHeight="1" x14ac:dyDescent="0.25">
      <c r="I151"/>
    </row>
    <row r="152" spans="1:9" s="2" customFormat="1" ht="24.4" customHeight="1" x14ac:dyDescent="0.25">
      <c r="A152"/>
      <c r="B152" s="108"/>
      <c r="C152" s="108"/>
      <c r="D152" s="4"/>
      <c r="E152" s="3"/>
      <c r="F152" s="127"/>
      <c r="G152" s="3"/>
      <c r="H152"/>
    </row>
    <row r="153" spans="1:9" ht="30.2" customHeight="1" x14ac:dyDescent="0.25">
      <c r="I153"/>
    </row>
    <row r="154" spans="1:9" ht="28.15" customHeight="1" x14ac:dyDescent="0.25">
      <c r="I154"/>
    </row>
    <row r="155" spans="1:9" s="2" customFormat="1" ht="24.4" customHeight="1" x14ac:dyDescent="0.25">
      <c r="A155"/>
      <c r="B155" s="108"/>
      <c r="C155" s="108"/>
      <c r="D155" s="4"/>
      <c r="E155" s="3"/>
      <c r="F155" s="127"/>
      <c r="G155" s="3"/>
      <c r="H155"/>
    </row>
    <row r="156" spans="1:9" ht="30" customHeight="1" x14ac:dyDescent="0.25">
      <c r="I156"/>
    </row>
    <row r="157" spans="1:9" ht="28.15" customHeight="1" x14ac:dyDescent="0.25">
      <c r="I157"/>
    </row>
    <row r="158" spans="1:9" s="2" customFormat="1" ht="24.4" customHeight="1" x14ac:dyDescent="0.25">
      <c r="A158"/>
      <c r="B158" s="108"/>
      <c r="C158" s="108"/>
      <c r="D158" s="4"/>
      <c r="E158" s="3"/>
      <c r="F158" s="127"/>
      <c r="G158" s="3"/>
      <c r="H158"/>
    </row>
    <row r="159" spans="1:9" ht="30" customHeight="1" x14ac:dyDescent="0.25">
      <c r="I159"/>
    </row>
    <row r="160" spans="1:9" ht="28.15" customHeight="1" x14ac:dyDescent="0.25">
      <c r="I160"/>
    </row>
    <row r="161" spans="1:9" s="2" customFormat="1" ht="24.4" customHeight="1" x14ac:dyDescent="0.25">
      <c r="A161"/>
      <c r="B161" s="108"/>
      <c r="C161" s="108"/>
      <c r="D161" s="4"/>
      <c r="E161" s="3"/>
      <c r="F161" s="127"/>
      <c r="G161" s="3"/>
      <c r="H161"/>
    </row>
    <row r="162" spans="1:9" ht="30" customHeight="1" x14ac:dyDescent="0.25">
      <c r="I162"/>
    </row>
    <row r="163" spans="1:9" ht="28.15" customHeight="1" x14ac:dyDescent="0.25">
      <c r="I163"/>
    </row>
    <row r="164" spans="1:9" s="2" customFormat="1" ht="24.4" customHeight="1" x14ac:dyDescent="0.25">
      <c r="A164"/>
      <c r="B164" s="108"/>
      <c r="C164" s="108"/>
      <c r="D164" s="4"/>
      <c r="E164" s="3"/>
      <c r="F164" s="127"/>
      <c r="G164" s="3"/>
      <c r="H164"/>
    </row>
    <row r="165" spans="1:9" ht="30" customHeight="1" x14ac:dyDescent="0.25">
      <c r="I165"/>
    </row>
    <row r="166" spans="1:9" ht="28.15" customHeight="1" x14ac:dyDescent="0.25">
      <c r="I166"/>
    </row>
    <row r="167" spans="1:9" s="2" customFormat="1" ht="24.4" customHeight="1" x14ac:dyDescent="0.25">
      <c r="A167"/>
      <c r="B167" s="108"/>
      <c r="C167" s="108"/>
      <c r="D167" s="4"/>
      <c r="E167" s="3"/>
      <c r="F167" s="127"/>
      <c r="G167" s="3"/>
      <c r="H167"/>
    </row>
    <row r="168" spans="1:9" ht="30" customHeight="1" x14ac:dyDescent="0.25">
      <c r="I168"/>
    </row>
    <row r="169" spans="1:9" ht="28.15" customHeight="1" x14ac:dyDescent="0.25">
      <c r="I169"/>
    </row>
    <row r="170" spans="1:9" s="2" customFormat="1" ht="24.4" customHeight="1" x14ac:dyDescent="0.25">
      <c r="A170"/>
      <c r="B170" s="108"/>
      <c r="C170" s="108"/>
      <c r="D170" s="4"/>
      <c r="E170" s="3"/>
      <c r="F170" s="127"/>
      <c r="G170" s="3"/>
      <c r="H170"/>
    </row>
    <row r="171" spans="1:9" ht="27.75" customHeight="1" x14ac:dyDescent="0.25">
      <c r="I171"/>
    </row>
    <row r="172" spans="1:9" ht="28.15" customHeight="1" x14ac:dyDescent="0.25">
      <c r="I172"/>
    </row>
    <row r="173" spans="1:9" s="2" customFormat="1" ht="24.4" customHeight="1" x14ac:dyDescent="0.25">
      <c r="A173"/>
      <c r="B173" s="108"/>
      <c r="C173" s="108"/>
      <c r="D173" s="4"/>
      <c r="E173" s="3"/>
      <c r="F173" s="127"/>
      <c r="G173" s="3"/>
      <c r="H173"/>
    </row>
    <row r="174" spans="1:9" ht="30" customHeight="1" x14ac:dyDescent="0.25">
      <c r="I174"/>
    </row>
    <row r="175" spans="1:9" ht="28.15" customHeight="1" x14ac:dyDescent="0.25">
      <c r="I175"/>
    </row>
    <row r="176" spans="1:9" s="2" customFormat="1" ht="24.4" customHeight="1" x14ac:dyDescent="0.25">
      <c r="A176"/>
      <c r="B176" s="108"/>
      <c r="C176" s="108"/>
      <c r="D176" s="4"/>
      <c r="E176" s="3"/>
      <c r="F176" s="127"/>
      <c r="G176" s="3"/>
      <c r="H176"/>
    </row>
    <row r="177" spans="1:9" ht="30.2" customHeight="1" x14ac:dyDescent="0.25">
      <c r="I177"/>
    </row>
    <row r="178" spans="1:9" ht="28.15" customHeight="1" x14ac:dyDescent="0.25">
      <c r="I178"/>
    </row>
    <row r="179" spans="1:9" s="2" customFormat="1" ht="24.4" customHeight="1" x14ac:dyDescent="0.25">
      <c r="A179"/>
      <c r="B179" s="108"/>
      <c r="C179" s="108"/>
      <c r="D179" s="4"/>
      <c r="E179" s="3"/>
      <c r="F179" s="127"/>
      <c r="G179" s="3"/>
      <c r="H179"/>
    </row>
    <row r="180" spans="1:9" ht="30" customHeight="1" x14ac:dyDescent="0.25">
      <c r="I180"/>
    </row>
    <row r="181" spans="1:9" ht="28.15" customHeight="1" x14ac:dyDescent="0.25">
      <c r="I181"/>
    </row>
    <row r="182" spans="1:9" s="2" customFormat="1" ht="24.4" customHeight="1" x14ac:dyDescent="0.25">
      <c r="A182"/>
      <c r="B182" s="108"/>
      <c r="C182" s="108"/>
      <c r="D182" s="4"/>
      <c r="E182" s="3"/>
      <c r="F182" s="127"/>
      <c r="G182" s="3"/>
      <c r="H182"/>
    </row>
    <row r="183" spans="1:9" ht="30" customHeight="1" x14ac:dyDescent="0.25">
      <c r="I183"/>
    </row>
    <row r="184" spans="1:9" ht="28.15" customHeight="1" x14ac:dyDescent="0.25">
      <c r="I184"/>
    </row>
    <row r="185" spans="1:9" s="2" customFormat="1" ht="24.4" customHeight="1" x14ac:dyDescent="0.25">
      <c r="A185"/>
      <c r="B185" s="108"/>
      <c r="C185" s="108"/>
      <c r="D185" s="4"/>
      <c r="E185" s="3"/>
      <c r="F185" s="127"/>
      <c r="G185" s="3"/>
      <c r="H185"/>
    </row>
    <row r="186" spans="1:9" ht="30" customHeight="1" x14ac:dyDescent="0.25">
      <c r="I186"/>
    </row>
    <row r="187" spans="1:9" ht="28.15" customHeight="1" x14ac:dyDescent="0.25">
      <c r="I187"/>
    </row>
    <row r="188" spans="1:9" s="2" customFormat="1" ht="24.4" customHeight="1" x14ac:dyDescent="0.25">
      <c r="A188"/>
      <c r="B188" s="108"/>
      <c r="C188" s="108"/>
      <c r="D188" s="4"/>
      <c r="E188" s="3"/>
      <c r="F188" s="127"/>
      <c r="G188" s="3"/>
      <c r="H188"/>
    </row>
    <row r="189" spans="1:9" ht="30" customHeight="1" x14ac:dyDescent="0.25">
      <c r="I189"/>
    </row>
    <row r="190" spans="1:9" ht="28.15" customHeight="1" x14ac:dyDescent="0.25">
      <c r="I190"/>
    </row>
    <row r="191" spans="1:9" s="2" customFormat="1" ht="24.4" customHeight="1" x14ac:dyDescent="0.25">
      <c r="A191"/>
      <c r="B191" s="108"/>
      <c r="C191" s="108"/>
      <c r="D191" s="4"/>
      <c r="E191" s="3"/>
      <c r="F191" s="127"/>
      <c r="G191" s="3"/>
      <c r="H191"/>
    </row>
    <row r="192" spans="1:9" ht="30" customHeight="1" x14ac:dyDescent="0.25">
      <c r="I192"/>
    </row>
    <row r="193" spans="1:9" ht="28.15" customHeight="1" x14ac:dyDescent="0.25">
      <c r="I193"/>
    </row>
    <row r="194" spans="1:9" s="2" customFormat="1" ht="24.4" customHeight="1" x14ac:dyDescent="0.25">
      <c r="A194"/>
      <c r="B194" s="108"/>
      <c r="C194" s="108"/>
      <c r="D194" s="4"/>
      <c r="E194" s="3"/>
      <c r="F194" s="127"/>
      <c r="G194" s="3"/>
      <c r="H194"/>
    </row>
    <row r="195" spans="1:9" ht="27.75" customHeight="1" x14ac:dyDescent="0.25">
      <c r="I195"/>
    </row>
    <row r="196" spans="1:9" ht="28.15" customHeight="1" x14ac:dyDescent="0.25">
      <c r="I196"/>
    </row>
    <row r="197" spans="1:9" s="2" customFormat="1" ht="24.4" customHeight="1" x14ac:dyDescent="0.25">
      <c r="A197"/>
      <c r="B197" s="108"/>
      <c r="C197" s="108"/>
      <c r="D197" s="4"/>
      <c r="E197" s="3"/>
      <c r="F197" s="127"/>
      <c r="G197" s="3"/>
      <c r="H197"/>
    </row>
    <row r="198" spans="1:9" ht="30" customHeight="1" x14ac:dyDescent="0.25">
      <c r="I198"/>
    </row>
    <row r="199" spans="1:9" ht="28.15" customHeight="1" x14ac:dyDescent="0.25">
      <c r="I199"/>
    </row>
    <row r="200" spans="1:9" s="2" customFormat="1" ht="24.4" customHeight="1" x14ac:dyDescent="0.25">
      <c r="A200"/>
      <c r="B200" s="108"/>
      <c r="C200" s="108"/>
      <c r="D200" s="4"/>
      <c r="E200" s="3"/>
      <c r="F200" s="127"/>
      <c r="G200" s="3"/>
      <c r="H200"/>
    </row>
    <row r="201" spans="1:9" ht="30.2" customHeight="1" x14ac:dyDescent="0.25">
      <c r="I201"/>
    </row>
    <row r="202" spans="1:9" ht="28.15" customHeight="1" x14ac:dyDescent="0.25">
      <c r="I202"/>
    </row>
    <row r="203" spans="1:9" s="2" customFormat="1" ht="24.4" customHeight="1" x14ac:dyDescent="0.25">
      <c r="A203"/>
      <c r="B203" s="108"/>
      <c r="C203" s="108"/>
      <c r="D203" s="4"/>
      <c r="E203" s="3"/>
      <c r="F203" s="127"/>
      <c r="G203" s="3"/>
      <c r="H203"/>
    </row>
    <row r="204" spans="1:9" ht="30" customHeight="1" x14ac:dyDescent="0.25">
      <c r="I204"/>
    </row>
    <row r="205" spans="1:9" ht="28.15" customHeight="1" x14ac:dyDescent="0.25">
      <c r="I205"/>
    </row>
    <row r="206" spans="1:9" s="2" customFormat="1" ht="24.4" customHeight="1" x14ac:dyDescent="0.25">
      <c r="A206"/>
      <c r="B206" s="108"/>
      <c r="C206" s="108"/>
      <c r="D206" s="4"/>
      <c r="E206" s="3"/>
      <c r="F206" s="127"/>
      <c r="G206" s="3"/>
      <c r="H206"/>
    </row>
    <row r="207" spans="1:9" ht="30" customHeight="1" x14ac:dyDescent="0.25">
      <c r="I207"/>
    </row>
    <row r="208" spans="1:9" ht="28.15" customHeight="1" x14ac:dyDescent="0.25">
      <c r="I208"/>
    </row>
    <row r="209" spans="1:9" s="2" customFormat="1" ht="24.4" customHeight="1" x14ac:dyDescent="0.25">
      <c r="A209"/>
      <c r="B209" s="108"/>
      <c r="C209" s="108"/>
      <c r="D209" s="4"/>
      <c r="E209" s="3"/>
      <c r="F209" s="127"/>
      <c r="G209" s="3"/>
      <c r="H209"/>
    </row>
    <row r="210" spans="1:9" ht="30" customHeight="1" x14ac:dyDescent="0.25">
      <c r="I210"/>
    </row>
    <row r="211" spans="1:9" ht="28.15" customHeight="1" x14ac:dyDescent="0.25">
      <c r="I211"/>
    </row>
    <row r="212" spans="1:9" s="2" customFormat="1" ht="24.4" customHeight="1" x14ac:dyDescent="0.25">
      <c r="A212"/>
      <c r="B212" s="108"/>
      <c r="C212" s="108"/>
      <c r="D212" s="4"/>
      <c r="E212" s="3"/>
      <c r="F212" s="127"/>
      <c r="G212" s="3"/>
      <c r="H212"/>
    </row>
    <row r="213" spans="1:9" ht="30" customHeight="1" x14ac:dyDescent="0.25">
      <c r="I213"/>
    </row>
    <row r="214" spans="1:9" ht="28.15" customHeight="1" x14ac:dyDescent="0.25">
      <c r="I214"/>
    </row>
    <row r="215" spans="1:9" ht="24.4" customHeight="1" x14ac:dyDescent="0.25">
      <c r="I215"/>
    </row>
    <row r="216" spans="1:9" ht="30" customHeight="1" x14ac:dyDescent="0.25">
      <c r="I216"/>
    </row>
    <row r="217" spans="1:9" ht="28.15" customHeight="1" x14ac:dyDescent="0.25">
      <c r="I217"/>
    </row>
    <row r="218" spans="1:9" s="2" customFormat="1" ht="24.4" customHeight="1" x14ac:dyDescent="0.25">
      <c r="A218"/>
      <c r="B218" s="108"/>
      <c r="C218" s="108"/>
      <c r="D218" s="4"/>
      <c r="E218" s="3"/>
      <c r="F218" s="127"/>
      <c r="G218" s="3"/>
      <c r="H218"/>
    </row>
    <row r="219" spans="1:9" ht="27.75" customHeight="1" x14ac:dyDescent="0.25">
      <c r="I219"/>
    </row>
    <row r="220" spans="1:9" ht="28.15" customHeight="1" x14ac:dyDescent="0.25">
      <c r="I220"/>
    </row>
    <row r="221" spans="1:9" s="2" customFormat="1" ht="24.4" customHeight="1" x14ac:dyDescent="0.25">
      <c r="A221"/>
      <c r="B221" s="108"/>
      <c r="C221" s="108"/>
      <c r="D221" s="4"/>
      <c r="E221" s="3"/>
      <c r="F221" s="127"/>
      <c r="G221" s="3"/>
      <c r="H221"/>
    </row>
    <row r="222" spans="1:9" ht="30" customHeight="1" x14ac:dyDescent="0.25">
      <c r="I222"/>
    </row>
    <row r="223" spans="1:9" ht="28.15" customHeight="1" x14ac:dyDescent="0.25">
      <c r="I223"/>
    </row>
    <row r="224" spans="1:9" s="2" customFormat="1" ht="24.4" customHeight="1" x14ac:dyDescent="0.25">
      <c r="A224"/>
      <c r="B224" s="108"/>
      <c r="C224" s="108"/>
      <c r="D224" s="4"/>
      <c r="E224" s="3"/>
      <c r="F224" s="127"/>
      <c r="G224" s="3"/>
      <c r="H224"/>
    </row>
    <row r="225" spans="1:10" ht="30" customHeight="1" x14ac:dyDescent="0.25">
      <c r="I225"/>
    </row>
    <row r="226" spans="1:10" ht="28.15" customHeight="1" x14ac:dyDescent="0.25">
      <c r="I226"/>
    </row>
    <row r="227" spans="1:10" s="2" customFormat="1" ht="24.4" customHeight="1" x14ac:dyDescent="0.25">
      <c r="A227"/>
      <c r="B227" s="108"/>
      <c r="C227" s="108"/>
      <c r="D227" s="4"/>
      <c r="E227" s="3"/>
      <c r="F227" s="127"/>
      <c r="G227" s="3"/>
      <c r="H227"/>
    </row>
    <row r="228" spans="1:10" ht="30.6" customHeight="1" x14ac:dyDescent="0.25">
      <c r="I228"/>
    </row>
    <row r="229" spans="1:10" s="2" customFormat="1" ht="24.4" customHeight="1" x14ac:dyDescent="0.25">
      <c r="A229"/>
      <c r="B229" s="108"/>
      <c r="C229" s="108"/>
      <c r="D229" s="4"/>
      <c r="E229" s="3"/>
      <c r="F229" s="127"/>
      <c r="G229" s="3"/>
      <c r="H229"/>
    </row>
    <row r="230" spans="1:10" ht="30.4" customHeight="1" x14ac:dyDescent="0.25">
      <c r="I230"/>
    </row>
    <row r="231" spans="1:10" s="2" customFormat="1" ht="24.4" customHeight="1" x14ac:dyDescent="0.25">
      <c r="A231"/>
      <c r="B231" s="108"/>
      <c r="C231" s="108"/>
      <c r="D231" s="4"/>
      <c r="E231" s="3"/>
      <c r="F231" s="127"/>
      <c r="G231" s="3"/>
      <c r="H231"/>
    </row>
    <row r="232" spans="1:10" ht="30.4" customHeight="1" x14ac:dyDescent="0.25">
      <c r="I232"/>
    </row>
    <row r="233" spans="1:10" s="2" customFormat="1" ht="24.4" customHeight="1" x14ac:dyDescent="0.25">
      <c r="A233"/>
      <c r="B233" s="108"/>
      <c r="C233" s="108"/>
      <c r="D233" s="4"/>
      <c r="E233" s="3"/>
      <c r="F233" s="127"/>
      <c r="G233" s="3"/>
      <c r="H233"/>
    </row>
    <row r="234" spans="1:10" ht="30.4" customHeight="1" x14ac:dyDescent="0.25">
      <c r="I234"/>
    </row>
    <row r="235" spans="1:10" s="2" customFormat="1" ht="24.4" customHeight="1" x14ac:dyDescent="0.25">
      <c r="A235"/>
      <c r="B235" s="108"/>
      <c r="C235" s="108"/>
      <c r="D235" s="4"/>
      <c r="E235" s="3"/>
      <c r="F235" s="127"/>
      <c r="G235" s="3"/>
      <c r="H235"/>
    </row>
    <row r="236" spans="1:10" ht="30.4" customHeight="1" x14ac:dyDescent="0.25">
      <c r="I236"/>
    </row>
    <row r="239" spans="1:10" x14ac:dyDescent="0.25">
      <c r="J239" s="11"/>
    </row>
    <row r="241" spans="10:11" x14ac:dyDescent="0.25">
      <c r="J241" s="11"/>
      <c r="K241" s="11"/>
    </row>
    <row r="242" spans="10:11" x14ac:dyDescent="0.25">
      <c r="J242" s="11"/>
    </row>
  </sheetData>
  <autoFilter ref="A8:O136"/>
  <mergeCells count="94">
    <mergeCell ref="D124:D125"/>
    <mergeCell ref="D127:D128"/>
    <mergeCell ref="D130:D131"/>
    <mergeCell ref="D82:D83"/>
    <mergeCell ref="D88:D89"/>
    <mergeCell ref="D91:D92"/>
    <mergeCell ref="D94:D95"/>
    <mergeCell ref="D97:D98"/>
    <mergeCell ref="D85:D86"/>
    <mergeCell ref="D100:D101"/>
    <mergeCell ref="D103:D104"/>
    <mergeCell ref="D106:D107"/>
    <mergeCell ref="D109:D110"/>
    <mergeCell ref="D112:D113"/>
    <mergeCell ref="D115:D116"/>
    <mergeCell ref="D118:D119"/>
    <mergeCell ref="D121:D122"/>
    <mergeCell ref="D67:D68"/>
    <mergeCell ref="D70:D71"/>
    <mergeCell ref="D73:D74"/>
    <mergeCell ref="D76:D77"/>
    <mergeCell ref="D79:D80"/>
    <mergeCell ref="A140:C140"/>
    <mergeCell ref="F140:H140"/>
    <mergeCell ref="A142:B142"/>
    <mergeCell ref="A5:H5"/>
    <mergeCell ref="A132:F132"/>
    <mergeCell ref="A133:F133"/>
    <mergeCell ref="A134:F134"/>
    <mergeCell ref="F135:H135"/>
    <mergeCell ref="A136:C136"/>
    <mergeCell ref="F136:H136"/>
    <mergeCell ref="D55:D56"/>
    <mergeCell ref="D58:D59"/>
    <mergeCell ref="D61:D62"/>
    <mergeCell ref="D64:D65"/>
    <mergeCell ref="D37:D38"/>
    <mergeCell ref="D40:D41"/>
    <mergeCell ref="D43:D44"/>
    <mergeCell ref="D46:D47"/>
    <mergeCell ref="D49:D50"/>
    <mergeCell ref="D52:D53"/>
    <mergeCell ref="D19:D20"/>
    <mergeCell ref="D22:D23"/>
    <mergeCell ref="D25:D26"/>
    <mergeCell ref="D28:D29"/>
    <mergeCell ref="D31:D32"/>
    <mergeCell ref="D34:D35"/>
    <mergeCell ref="D16:D17"/>
    <mergeCell ref="A1:H1"/>
    <mergeCell ref="A2:H2"/>
    <mergeCell ref="A4:H4"/>
    <mergeCell ref="D10:D11"/>
    <mergeCell ref="D13:D14"/>
    <mergeCell ref="H9:H11"/>
    <mergeCell ref="H12:H14"/>
    <mergeCell ref="H15:H17"/>
    <mergeCell ref="H18:H20"/>
    <mergeCell ref="H21:H23"/>
    <mergeCell ref="H24:H26"/>
    <mergeCell ref="H27:H29"/>
    <mergeCell ref="H30:H32"/>
    <mergeCell ref="H33:H35"/>
    <mergeCell ref="H36:H38"/>
    <mergeCell ref="H39:H41"/>
    <mergeCell ref="H42:H44"/>
    <mergeCell ref="H45:H47"/>
    <mergeCell ref="H48:H50"/>
    <mergeCell ref="H51:H53"/>
    <mergeCell ref="H54:H56"/>
    <mergeCell ref="H57:H59"/>
    <mergeCell ref="H60:H62"/>
    <mergeCell ref="H63:H65"/>
    <mergeCell ref="H66:H68"/>
    <mergeCell ref="H69:H71"/>
    <mergeCell ref="H72:H74"/>
    <mergeCell ref="H75:H77"/>
    <mergeCell ref="H78:H80"/>
    <mergeCell ref="H81:H83"/>
    <mergeCell ref="H84:H86"/>
    <mergeCell ref="H87:H89"/>
    <mergeCell ref="H90:H92"/>
    <mergeCell ref="H93:H95"/>
    <mergeCell ref="H96:H98"/>
    <mergeCell ref="H99:H101"/>
    <mergeCell ref="H102:H104"/>
    <mergeCell ref="H105:H107"/>
    <mergeCell ref="H123:H125"/>
    <mergeCell ref="H126:H128"/>
    <mergeCell ref="H108:H110"/>
    <mergeCell ref="H111:H113"/>
    <mergeCell ref="H114:H116"/>
    <mergeCell ref="H117:H119"/>
    <mergeCell ref="H120:H122"/>
  </mergeCells>
  <pageMargins left="0.47" right="0.25" top="0.42" bottom="0.41" header="0.18" footer="0.19"/>
  <pageSetup fitToHeight="0" orientation="portrait" r:id="rId1"/>
  <headerFooter alignWithMargins="0">
    <oddFooter>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view="pageBreakPreview" zoomScale="115" zoomScaleNormal="100" zoomScaleSheetLayoutView="115" zoomScalePageLayoutView="115" workbookViewId="0">
      <selection activeCell="D10" sqref="D10:D11"/>
    </sheetView>
  </sheetViews>
  <sheetFormatPr defaultRowHeight="15" x14ac:dyDescent="0.25"/>
  <cols>
    <col min="1" max="1" width="11" customWidth="1"/>
    <col min="2" max="2" width="10.140625" customWidth="1"/>
    <col min="3" max="3" width="9.85546875" customWidth="1"/>
    <col min="4" max="4" width="7.42578125" style="4" customWidth="1"/>
    <col min="5" max="5" width="11.140625" style="3" customWidth="1"/>
    <col min="6" max="6" width="12" style="10" customWidth="1"/>
    <col min="7" max="7" width="24.5703125" style="3" customWidth="1"/>
    <col min="8" max="8" width="13.140625" customWidth="1"/>
    <col min="9" max="9" width="13.7109375" style="17" bestFit="1" customWidth="1"/>
    <col min="10" max="10" width="11.140625" bestFit="1" customWidth="1"/>
    <col min="11" max="11" width="9.28515625" bestFit="1" customWidth="1"/>
  </cols>
  <sheetData>
    <row r="1" spans="1:15" ht="15.75" x14ac:dyDescent="0.25">
      <c r="A1" s="183" t="s">
        <v>131</v>
      </c>
      <c r="B1" s="183"/>
      <c r="C1" s="183"/>
      <c r="D1" s="183"/>
      <c r="E1" s="183"/>
      <c r="F1" s="183"/>
      <c r="G1" s="183"/>
      <c r="H1" s="183"/>
      <c r="K1" t="s">
        <v>7</v>
      </c>
      <c r="L1">
        <v>2200</v>
      </c>
    </row>
    <row r="2" spans="1:15" ht="15.75" x14ac:dyDescent="0.25">
      <c r="A2" s="184" t="s">
        <v>132</v>
      </c>
      <c r="B2" s="184"/>
      <c r="C2" s="184"/>
      <c r="D2" s="184"/>
      <c r="E2" s="184"/>
      <c r="F2" s="184"/>
      <c r="G2" s="184"/>
      <c r="H2" s="184"/>
      <c r="K2" t="s">
        <v>8</v>
      </c>
      <c r="L2">
        <v>15000</v>
      </c>
    </row>
    <row r="4" spans="1:15" ht="22.5" customHeight="1" x14ac:dyDescent="0.25">
      <c r="A4" s="185" t="e">
        <f>"BẢNG TỔNG HỢP ĐIỆN - NƯỚC SINH HOẠT KÝ TÚC XÁ KHU C " &amp;#REF!</f>
        <v>#REF!</v>
      </c>
      <c r="B4" s="185"/>
      <c r="C4" s="185"/>
      <c r="D4" s="185"/>
      <c r="E4" s="185"/>
      <c r="F4" s="185"/>
      <c r="G4" s="185"/>
      <c r="H4" s="185"/>
      <c r="I4" s="44"/>
      <c r="J4" s="39" t="s">
        <v>31</v>
      </c>
      <c r="K4" s="39" t="s">
        <v>117</v>
      </c>
      <c r="L4" s="39" t="s">
        <v>29</v>
      </c>
      <c r="M4" s="39" t="s">
        <v>30</v>
      </c>
      <c r="N4" s="39" t="s">
        <v>115</v>
      </c>
      <c r="O4" s="39" t="s">
        <v>116</v>
      </c>
    </row>
    <row r="5" spans="1:15" ht="20.25" customHeight="1" x14ac:dyDescent="0.25">
      <c r="A5" s="190" t="s">
        <v>154</v>
      </c>
      <c r="B5" s="190"/>
      <c r="C5" s="190"/>
      <c r="D5" s="190"/>
      <c r="E5" s="190"/>
      <c r="F5" s="190"/>
      <c r="G5" s="190"/>
      <c r="H5" s="190"/>
      <c r="I5" s="44"/>
      <c r="J5" s="27" t="s">
        <v>28</v>
      </c>
      <c r="K5" s="39">
        <v>91</v>
      </c>
      <c r="L5" s="39">
        <v>117</v>
      </c>
      <c r="M5" s="39">
        <f>L5-K5</f>
        <v>26</v>
      </c>
      <c r="N5" s="55">
        <f>SUM('so nguoi'!H8:H13)</f>
        <v>26</v>
      </c>
      <c r="O5" s="39">
        <f>M5/N5</f>
        <v>1</v>
      </c>
    </row>
    <row r="6" spans="1:15" x14ac:dyDescent="0.25">
      <c r="A6" s="39"/>
      <c r="B6" s="39"/>
      <c r="C6" s="39"/>
      <c r="D6" s="40"/>
      <c r="E6" s="41"/>
      <c r="F6" s="42"/>
      <c r="G6" s="56" t="s">
        <v>21</v>
      </c>
      <c r="H6" s="56"/>
      <c r="I6" s="56"/>
      <c r="J6" s="39" t="s">
        <v>32</v>
      </c>
      <c r="K6" s="39">
        <v>60</v>
      </c>
      <c r="L6" s="39">
        <v>76</v>
      </c>
      <c r="M6" s="39">
        <f t="shared" ref="M6:M8" si="0">L6-K6</f>
        <v>16</v>
      </c>
      <c r="N6" s="55">
        <f>SUM('so nguoi'!H14:H18)</f>
        <v>20</v>
      </c>
      <c r="O6" s="39">
        <f t="shared" ref="O6:O8" si="1">M6/N6</f>
        <v>0.8</v>
      </c>
    </row>
    <row r="7" spans="1:15" x14ac:dyDescent="0.25">
      <c r="A7" s="39"/>
      <c r="B7" s="39"/>
      <c r="C7" s="39"/>
      <c r="D7" s="40"/>
      <c r="E7" s="41"/>
      <c r="F7" s="42"/>
      <c r="G7" s="56" t="s">
        <v>130</v>
      </c>
      <c r="H7" s="56"/>
      <c r="I7" s="56"/>
      <c r="J7" s="39" t="s">
        <v>33</v>
      </c>
      <c r="K7" s="39">
        <v>116</v>
      </c>
      <c r="L7" s="39">
        <v>159</v>
      </c>
      <c r="M7" s="39">
        <f t="shared" si="0"/>
        <v>43</v>
      </c>
      <c r="N7" s="39">
        <f>SUM('so nguoi'!J8:J13)</f>
        <v>27</v>
      </c>
      <c r="O7" s="39">
        <f t="shared" si="1"/>
        <v>1.5925925925925926</v>
      </c>
    </row>
    <row r="8" spans="1:15" ht="34.5" customHeight="1" x14ac:dyDescent="0.25">
      <c r="A8" s="13" t="s">
        <v>17</v>
      </c>
      <c r="B8" s="14" t="s">
        <v>10</v>
      </c>
      <c r="C8" s="14" t="s">
        <v>9</v>
      </c>
      <c r="D8" s="15" t="s">
        <v>18</v>
      </c>
      <c r="E8" s="14" t="s">
        <v>120</v>
      </c>
      <c r="F8" s="16" t="s">
        <v>19</v>
      </c>
      <c r="G8" s="14" t="s">
        <v>20</v>
      </c>
      <c r="H8" s="14" t="s">
        <v>16</v>
      </c>
      <c r="I8" s="44"/>
      <c r="J8" s="39" t="s">
        <v>34</v>
      </c>
      <c r="K8" s="39">
        <v>111</v>
      </c>
      <c r="L8" s="39">
        <v>161</v>
      </c>
      <c r="M8" s="39">
        <f t="shared" si="0"/>
        <v>50</v>
      </c>
      <c r="N8" s="39">
        <f>SUM('so nguoi'!J14:J18)</f>
        <v>0</v>
      </c>
      <c r="O8" s="39" t="e">
        <f t="shared" si="1"/>
        <v>#DIV/0!</v>
      </c>
    </row>
    <row r="9" spans="1:15" s="90" customFormat="1" ht="23.25" customHeight="1" x14ac:dyDescent="0.3">
      <c r="A9" s="84" t="s">
        <v>140</v>
      </c>
      <c r="B9" s="85"/>
      <c r="C9" s="85"/>
      <c r="D9" s="85"/>
      <c r="E9" s="86"/>
      <c r="F9" s="87"/>
      <c r="G9" s="85"/>
      <c r="H9" s="88">
        <f>SUM(G10:G11)</f>
        <v>199333.33333333334</v>
      </c>
      <c r="I9" s="89"/>
      <c r="J9" s="80"/>
      <c r="K9" s="80"/>
      <c r="L9" s="80"/>
      <c r="M9" s="80"/>
      <c r="N9" s="80"/>
      <c r="O9" s="80"/>
    </row>
    <row r="10" spans="1:15" s="23" customFormat="1" ht="16.5" x14ac:dyDescent="0.25">
      <c r="A10" s="24" t="s">
        <v>5</v>
      </c>
      <c r="B10" s="24">
        <v>430</v>
      </c>
      <c r="C10" s="24">
        <v>510</v>
      </c>
      <c r="D10" s="182">
        <f>VLOOKUP(RIGHT(LEFT(A9,11),4),'so nguoi'!$C$8:$N$21,2,0)</f>
        <v>7</v>
      </c>
      <c r="E10" s="25">
        <f>C10-B10</f>
        <v>80</v>
      </c>
      <c r="F10" s="26">
        <f>E10</f>
        <v>80</v>
      </c>
      <c r="G10" s="77">
        <f>F10*$L$1</f>
        <v>176000</v>
      </c>
      <c r="H10" s="78"/>
      <c r="I10" s="79"/>
      <c r="J10" s="81"/>
      <c r="K10" s="81"/>
      <c r="L10" s="81"/>
      <c r="M10" s="81"/>
      <c r="N10" s="81"/>
      <c r="O10" s="81"/>
    </row>
    <row r="11" spans="1:15" s="23" customFormat="1" ht="16.5" x14ac:dyDescent="0.25">
      <c r="A11" s="20" t="s">
        <v>6</v>
      </c>
      <c r="B11" s="20">
        <v>508</v>
      </c>
      <c r="C11" s="20">
        <v>510</v>
      </c>
      <c r="D11" s="182"/>
      <c r="E11" s="21">
        <f>C11-B11</f>
        <v>2</v>
      </c>
      <c r="F11" s="22">
        <f>IF(D10=0,0,(E11/(D10+D13)*D10))</f>
        <v>1.5555555555555554</v>
      </c>
      <c r="G11" s="82">
        <f>F11*$L$2</f>
        <v>23333.333333333332</v>
      </c>
      <c r="H11" s="83"/>
      <c r="I11" s="79"/>
      <c r="J11" s="81"/>
      <c r="K11" s="81"/>
      <c r="L11" s="81"/>
      <c r="M11" s="81"/>
      <c r="N11" s="81"/>
      <c r="O11" s="81"/>
    </row>
    <row r="12" spans="1:15" s="90" customFormat="1" ht="23.25" customHeight="1" x14ac:dyDescent="0.3">
      <c r="A12" s="84" t="s">
        <v>141</v>
      </c>
      <c r="B12" s="85"/>
      <c r="C12" s="85"/>
      <c r="D12" s="85"/>
      <c r="E12" s="86"/>
      <c r="F12" s="87"/>
      <c r="G12" s="85"/>
      <c r="H12" s="88">
        <f>SUM(G13:G14)</f>
        <v>13266.666666666666</v>
      </c>
      <c r="I12" s="89"/>
      <c r="J12" s="80"/>
      <c r="K12" s="80"/>
      <c r="L12" s="80"/>
      <c r="M12" s="80"/>
      <c r="N12" s="80"/>
      <c r="O12" s="80"/>
    </row>
    <row r="13" spans="1:15" s="23" customFormat="1" ht="16.5" x14ac:dyDescent="0.25">
      <c r="A13" s="20" t="s">
        <v>5</v>
      </c>
      <c r="B13" s="20">
        <v>9582</v>
      </c>
      <c r="C13" s="20">
        <v>9585</v>
      </c>
      <c r="D13" s="182">
        <f>VLOOKUP(RIGHT(LEFT(A12,11),4),'so nguoi'!$C$8:$N$21,2,0)</f>
        <v>2</v>
      </c>
      <c r="E13" s="25">
        <f>C13-B13</f>
        <v>3</v>
      </c>
      <c r="F13" s="26">
        <f>E13</f>
        <v>3</v>
      </c>
      <c r="G13" s="77">
        <f>F13*$L$1</f>
        <v>6600</v>
      </c>
      <c r="H13" s="91"/>
      <c r="I13" s="79"/>
      <c r="J13" s="81"/>
      <c r="K13" s="81"/>
      <c r="L13" s="81"/>
      <c r="M13" s="81"/>
      <c r="N13" s="81"/>
      <c r="O13" s="81"/>
    </row>
    <row r="14" spans="1:15" s="23" customFormat="1" ht="16.5" x14ac:dyDescent="0.25">
      <c r="A14" s="20" t="s">
        <v>6</v>
      </c>
      <c r="B14" s="20">
        <f>B11</f>
        <v>508</v>
      </c>
      <c r="C14" s="20">
        <f>C11</f>
        <v>510</v>
      </c>
      <c r="D14" s="182"/>
      <c r="E14" s="21">
        <f>C14-B14</f>
        <v>2</v>
      </c>
      <c r="F14" s="22">
        <f>IF(D13=0,0,(E14/(D13+D10)*D13))</f>
        <v>0.44444444444444442</v>
      </c>
      <c r="G14" s="82">
        <f>F14*$L$2</f>
        <v>6666.6666666666661</v>
      </c>
      <c r="H14" s="83"/>
      <c r="I14" s="79"/>
      <c r="J14" s="81"/>
      <c r="K14" s="81"/>
      <c r="L14" s="81"/>
      <c r="M14" s="81"/>
      <c r="N14" s="81"/>
      <c r="O14" s="81"/>
    </row>
    <row r="15" spans="1:15" s="2" customFormat="1" ht="23.25" customHeight="1" x14ac:dyDescent="0.3">
      <c r="A15" s="66" t="s">
        <v>142</v>
      </c>
      <c r="B15" s="71"/>
      <c r="C15" s="71"/>
      <c r="D15" s="71"/>
      <c r="E15" s="72"/>
      <c r="F15" s="73"/>
      <c r="G15" s="71"/>
      <c r="H15" s="67">
        <f>SUM(G16:G17)</f>
        <v>138600</v>
      </c>
      <c r="I15" s="74"/>
      <c r="J15" s="62"/>
      <c r="K15" s="62"/>
      <c r="L15" s="62"/>
      <c r="M15" s="62"/>
      <c r="N15" s="62"/>
      <c r="O15" s="62"/>
    </row>
    <row r="16" spans="1:15" s="23" customFormat="1" ht="16.5" x14ac:dyDescent="0.25">
      <c r="A16" s="24" t="s">
        <v>5</v>
      </c>
      <c r="B16" s="24">
        <v>332</v>
      </c>
      <c r="C16" s="24">
        <v>395</v>
      </c>
      <c r="D16" s="182">
        <f>VLOOKUP(RIGHT(LEFT(A15,11),4),'so nguoi'!$C$8:$N$21,2,0)</f>
        <v>0</v>
      </c>
      <c r="E16" s="25">
        <f>C16-B16</f>
        <v>63</v>
      </c>
      <c r="F16" s="26">
        <f>E16</f>
        <v>63</v>
      </c>
      <c r="G16" s="77">
        <f>F16*$L$1</f>
        <v>138600</v>
      </c>
      <c r="H16" s="78"/>
      <c r="I16" s="79"/>
      <c r="J16" s="81"/>
      <c r="K16" s="81"/>
      <c r="L16" s="81"/>
      <c r="M16" s="81"/>
      <c r="N16" s="81"/>
      <c r="O16" s="81"/>
    </row>
    <row r="17" spans="1:15" s="23" customFormat="1" ht="16.5" x14ac:dyDescent="0.25">
      <c r="A17" s="20" t="s">
        <v>6</v>
      </c>
      <c r="B17" s="20">
        <v>5277</v>
      </c>
      <c r="C17" s="20">
        <v>5312</v>
      </c>
      <c r="D17" s="182"/>
      <c r="E17" s="21">
        <f>C17-B17</f>
        <v>35</v>
      </c>
      <c r="F17" s="76">
        <f>IF(D16=0,0,(E17/(D16+D19)*D16))</f>
        <v>0</v>
      </c>
      <c r="G17" s="82">
        <f>F17*$L$2</f>
        <v>0</v>
      </c>
      <c r="H17" s="83"/>
      <c r="I17" s="79"/>
      <c r="J17" s="81"/>
      <c r="K17" s="81"/>
      <c r="L17" s="81"/>
      <c r="M17" s="81"/>
      <c r="N17" s="81"/>
      <c r="O17" s="81"/>
    </row>
    <row r="18" spans="1:15" s="2" customFormat="1" ht="23.25" customHeight="1" x14ac:dyDescent="0.3">
      <c r="A18" s="66" t="s">
        <v>143</v>
      </c>
      <c r="B18" s="71"/>
      <c r="C18" s="71"/>
      <c r="D18" s="71"/>
      <c r="E18" s="72"/>
      <c r="F18" s="73"/>
      <c r="G18" s="71"/>
      <c r="H18" s="67">
        <f>SUM(G19:G20)</f>
        <v>707600</v>
      </c>
      <c r="I18" s="74"/>
      <c r="J18" s="62"/>
      <c r="K18" s="62"/>
      <c r="L18" s="62"/>
      <c r="M18" s="62"/>
      <c r="N18" s="62"/>
      <c r="O18" s="62"/>
    </row>
    <row r="19" spans="1:15" ht="16.5" x14ac:dyDescent="0.25">
      <c r="A19" s="7" t="s">
        <v>5</v>
      </c>
      <c r="B19" s="7">
        <v>3182</v>
      </c>
      <c r="C19" s="7">
        <v>3265</v>
      </c>
      <c r="D19" s="197">
        <f>VLOOKUP(RIGHT(LEFT(A18,11),4),'so nguoi'!$C$8:$N$21,2,0)</f>
        <v>6</v>
      </c>
      <c r="E19" s="6">
        <f>C19-B19</f>
        <v>83</v>
      </c>
      <c r="F19" s="9">
        <f>E19</f>
        <v>83</v>
      </c>
      <c r="G19" s="51">
        <f>F19*$L$1</f>
        <v>182600</v>
      </c>
      <c r="H19" s="59"/>
      <c r="I19" s="44"/>
      <c r="J19" s="39"/>
      <c r="K19" s="39"/>
      <c r="L19" s="39"/>
      <c r="M19" s="39"/>
      <c r="N19" s="39"/>
      <c r="O19" s="39"/>
    </row>
    <row r="20" spans="1:15" ht="16.5" x14ac:dyDescent="0.25">
      <c r="A20" s="7" t="s">
        <v>6</v>
      </c>
      <c r="B20" s="7">
        <f>B17</f>
        <v>5277</v>
      </c>
      <c r="C20" s="7">
        <f>C17</f>
        <v>5312</v>
      </c>
      <c r="D20" s="197"/>
      <c r="E20" s="8">
        <f>C20-B20</f>
        <v>35</v>
      </c>
      <c r="F20" s="76">
        <f>IF(D19=0,0,(E20/(D19+D16)*D19))</f>
        <v>35</v>
      </c>
      <c r="G20" s="52">
        <f>F20*$L$2</f>
        <v>525000</v>
      </c>
      <c r="H20" s="58"/>
      <c r="I20" s="44"/>
      <c r="J20" s="39"/>
      <c r="K20" s="39"/>
      <c r="L20" s="39"/>
      <c r="M20" s="39"/>
      <c r="N20" s="39"/>
      <c r="O20" s="39"/>
    </row>
    <row r="21" spans="1:15" s="2" customFormat="1" ht="23.25" customHeight="1" x14ac:dyDescent="0.3">
      <c r="A21" s="66" t="s">
        <v>138</v>
      </c>
      <c r="B21" s="71"/>
      <c r="C21" s="71"/>
      <c r="D21" s="71"/>
      <c r="E21" s="72"/>
      <c r="F21" s="73"/>
      <c r="G21" s="71"/>
      <c r="H21" s="67">
        <f>SUM(G22:G23)</f>
        <v>862133.33333333337</v>
      </c>
      <c r="I21" s="74"/>
      <c r="J21" s="62"/>
      <c r="K21" s="62"/>
      <c r="L21" s="62"/>
      <c r="M21" s="62"/>
      <c r="N21" s="62"/>
      <c r="O21" s="62"/>
    </row>
    <row r="22" spans="1:15" ht="16.5" x14ac:dyDescent="0.25">
      <c r="A22" s="5" t="s">
        <v>5</v>
      </c>
      <c r="B22" s="5">
        <v>9252</v>
      </c>
      <c r="C22" s="5">
        <v>9356</v>
      </c>
      <c r="D22" s="197">
        <f>VLOOKUP(RIGHT(LEFT(A21,11),4),'so nguoi'!$C$8:$N$21,2,0)</f>
        <v>4</v>
      </c>
      <c r="E22" s="6">
        <f>C22-B22</f>
        <v>104</v>
      </c>
      <c r="F22" s="9">
        <f>E22</f>
        <v>104</v>
      </c>
      <c r="G22" s="51">
        <f>F22*$L$1</f>
        <v>228800</v>
      </c>
      <c r="H22" s="57"/>
      <c r="I22" s="44"/>
      <c r="J22" s="39"/>
      <c r="K22" s="39"/>
      <c r="L22" s="39"/>
      <c r="M22" s="39"/>
      <c r="N22" s="39"/>
      <c r="O22" s="39"/>
    </row>
    <row r="23" spans="1:15" ht="16.5" x14ac:dyDescent="0.25">
      <c r="A23" s="7" t="s">
        <v>6</v>
      </c>
      <c r="B23" s="7">
        <v>4413</v>
      </c>
      <c r="C23" s="7">
        <v>4508</v>
      </c>
      <c r="D23" s="197"/>
      <c r="E23" s="8">
        <f>C23-B23</f>
        <v>95</v>
      </c>
      <c r="F23" s="76">
        <f>IF(D22=0,0,(E23/(D22+D25)*D22))</f>
        <v>42.222222222222221</v>
      </c>
      <c r="G23" s="52">
        <f>F23*$L$2</f>
        <v>633333.33333333337</v>
      </c>
      <c r="H23" s="58"/>
      <c r="I23" s="44"/>
      <c r="J23" s="39"/>
      <c r="K23" s="39"/>
      <c r="L23" s="39"/>
      <c r="M23" s="39"/>
      <c r="N23" s="39"/>
      <c r="O23" s="39"/>
    </row>
    <row r="24" spans="1:15" s="2" customFormat="1" ht="23.25" customHeight="1" x14ac:dyDescent="0.3">
      <c r="A24" s="66" t="s">
        <v>139</v>
      </c>
      <c r="B24" s="71"/>
      <c r="C24" s="71"/>
      <c r="D24" s="71"/>
      <c r="E24" s="72"/>
      <c r="F24" s="73"/>
      <c r="G24" s="71"/>
      <c r="H24" s="67">
        <f>SUM(G25:G26)</f>
        <v>1044666.6666666666</v>
      </c>
      <c r="I24" s="74"/>
      <c r="J24" s="62"/>
      <c r="K24" s="62"/>
      <c r="L24" s="62"/>
      <c r="M24" s="62"/>
      <c r="N24" s="62"/>
      <c r="O24" s="62"/>
    </row>
    <row r="25" spans="1:15" ht="16.5" x14ac:dyDescent="0.25">
      <c r="A25" s="5" t="s">
        <v>5</v>
      </c>
      <c r="B25" s="5">
        <v>1877</v>
      </c>
      <c r="C25" s="5">
        <v>1992</v>
      </c>
      <c r="D25" s="197">
        <f>VLOOKUP(RIGHT(LEFT(A24,11),4),'so nguoi'!$C$8:$N$21,2,0)</f>
        <v>5</v>
      </c>
      <c r="E25" s="6">
        <f>C25-B25</f>
        <v>115</v>
      </c>
      <c r="F25" s="9">
        <f>E25</f>
        <v>115</v>
      </c>
      <c r="G25" s="51">
        <f>F25*$L$1</f>
        <v>253000</v>
      </c>
      <c r="H25" s="57"/>
      <c r="I25" s="44"/>
      <c r="J25" s="39"/>
      <c r="K25" s="39"/>
      <c r="L25" s="39"/>
      <c r="M25" s="39"/>
      <c r="N25" s="39"/>
      <c r="O25" s="39"/>
    </row>
    <row r="26" spans="1:15" ht="16.5" x14ac:dyDescent="0.25">
      <c r="A26" s="7" t="s">
        <v>6</v>
      </c>
      <c r="B26" s="7">
        <f>B23</f>
        <v>4413</v>
      </c>
      <c r="C26" s="7">
        <f>C23</f>
        <v>4508</v>
      </c>
      <c r="D26" s="197"/>
      <c r="E26" s="8">
        <f>C26-B26</f>
        <v>95</v>
      </c>
      <c r="F26" s="76">
        <f>IF(D25=0,0,(E26/(D25+D22)*D25))</f>
        <v>52.777777777777779</v>
      </c>
      <c r="G26" s="52">
        <f>F26*$L$2</f>
        <v>791666.66666666663</v>
      </c>
      <c r="H26" s="58"/>
      <c r="I26" s="44"/>
      <c r="J26" s="39"/>
      <c r="K26" s="39"/>
      <c r="L26" s="39"/>
      <c r="M26" s="39"/>
      <c r="N26" s="39"/>
      <c r="O26" s="39"/>
    </row>
    <row r="27" spans="1:15" s="2" customFormat="1" ht="23.25" customHeight="1" x14ac:dyDescent="0.3">
      <c r="A27" s="66" t="s">
        <v>122</v>
      </c>
      <c r="B27" s="71"/>
      <c r="C27" s="71"/>
      <c r="D27" s="71"/>
      <c r="E27" s="72"/>
      <c r="F27" s="73"/>
      <c r="G27" s="71"/>
      <c r="H27" s="67">
        <f>SUM(G28:G29)</f>
        <v>0</v>
      </c>
      <c r="I27" s="74"/>
      <c r="J27" s="62"/>
      <c r="K27" s="62"/>
      <c r="L27" s="62"/>
      <c r="M27" s="62"/>
      <c r="N27" s="62"/>
      <c r="O27" s="62"/>
    </row>
    <row r="28" spans="1:15" ht="16.5" x14ac:dyDescent="0.25">
      <c r="A28" s="5" t="s">
        <v>5</v>
      </c>
      <c r="B28" s="5">
        <v>124</v>
      </c>
      <c r="C28" s="5">
        <v>124</v>
      </c>
      <c r="D28" s="197">
        <f>VLOOKUP(RIGHT(LEFT(A27,11),4),'so nguoi'!$E$8:$N$21,2,0)</f>
        <v>0</v>
      </c>
      <c r="E28" s="6">
        <f>C28-B28</f>
        <v>0</v>
      </c>
      <c r="F28" s="9">
        <f>E28</f>
        <v>0</v>
      </c>
      <c r="G28" s="51">
        <f>F28*$L$1</f>
        <v>0</v>
      </c>
      <c r="H28" s="57"/>
      <c r="I28" s="44"/>
      <c r="J28" s="39"/>
      <c r="K28" s="39"/>
      <c r="L28" s="39"/>
      <c r="M28" s="39"/>
      <c r="N28" s="39"/>
      <c r="O28" s="39"/>
    </row>
    <row r="29" spans="1:15" ht="16.5" x14ac:dyDescent="0.25">
      <c r="A29" s="7" t="s">
        <v>6</v>
      </c>
      <c r="B29" s="7">
        <v>51</v>
      </c>
      <c r="C29" s="7">
        <v>51</v>
      </c>
      <c r="D29" s="197"/>
      <c r="E29" s="8">
        <f>C29-B29</f>
        <v>0</v>
      </c>
      <c r="F29" s="76">
        <f>IF(D28=0,0,(E29/(D28+D31)*D28))</f>
        <v>0</v>
      </c>
      <c r="G29" s="52">
        <f>F29*$L$2</f>
        <v>0</v>
      </c>
      <c r="H29" s="58"/>
      <c r="I29" s="44"/>
      <c r="J29" s="39"/>
      <c r="K29" s="39"/>
      <c r="L29" s="39"/>
      <c r="M29" s="39"/>
      <c r="N29" s="39"/>
      <c r="O29" s="39"/>
    </row>
    <row r="30" spans="1:15" s="2" customFormat="1" ht="23.25" customHeight="1" x14ac:dyDescent="0.3">
      <c r="A30" s="66" t="s">
        <v>123</v>
      </c>
      <c r="B30" s="71"/>
      <c r="C30" s="71"/>
      <c r="D30" s="71"/>
      <c r="E30" s="72"/>
      <c r="F30" s="73"/>
      <c r="G30" s="71"/>
      <c r="H30" s="67">
        <f>SUM(G31:G32)</f>
        <v>0</v>
      </c>
      <c r="I30" s="74"/>
      <c r="J30" s="62"/>
      <c r="K30" s="62"/>
      <c r="L30" s="62"/>
      <c r="M30" s="62"/>
      <c r="N30" s="62"/>
      <c r="O30" s="62"/>
    </row>
    <row r="31" spans="1:15" s="23" customFormat="1" ht="16.5" x14ac:dyDescent="0.25">
      <c r="A31" s="24" t="s">
        <v>5</v>
      </c>
      <c r="B31" s="24">
        <v>691</v>
      </c>
      <c r="C31" s="24">
        <v>691</v>
      </c>
      <c r="D31" s="182">
        <f>VLOOKUP(RIGHT(LEFT(A30,11),4),'so nguoi'!$E$8:$N$21,2,0)</f>
        <v>6</v>
      </c>
      <c r="E31" s="25">
        <f>C31-B31</f>
        <v>0</v>
      </c>
      <c r="F31" s="26">
        <f>E31</f>
        <v>0</v>
      </c>
      <c r="G31" s="77">
        <f>F31*$L$1</f>
        <v>0</v>
      </c>
      <c r="H31" s="78"/>
      <c r="I31" s="79"/>
      <c r="J31" s="81"/>
      <c r="K31" s="81"/>
      <c r="L31" s="81"/>
      <c r="M31" s="81"/>
      <c r="N31" s="81"/>
      <c r="O31" s="81"/>
    </row>
    <row r="32" spans="1:15" s="23" customFormat="1" ht="16.5" x14ac:dyDescent="0.25">
      <c r="A32" s="20" t="s">
        <v>6</v>
      </c>
      <c r="B32" s="20">
        <f>B29</f>
        <v>51</v>
      </c>
      <c r="C32" s="20">
        <f>C29</f>
        <v>51</v>
      </c>
      <c r="D32" s="182"/>
      <c r="E32" s="21">
        <f>C32-B32</f>
        <v>0</v>
      </c>
      <c r="F32" s="76">
        <f>IF(D31=0,0,(E32/(D31+D28)*D31))</f>
        <v>0</v>
      </c>
      <c r="G32" s="82">
        <f>F32*$L$2</f>
        <v>0</v>
      </c>
      <c r="H32" s="83"/>
      <c r="I32" s="79"/>
      <c r="J32" s="81"/>
      <c r="K32" s="81"/>
      <c r="L32" s="81"/>
      <c r="M32" s="81"/>
      <c r="N32" s="81"/>
      <c r="O32" s="81"/>
    </row>
    <row r="33" spans="1:15" s="2" customFormat="1" ht="23.25" customHeight="1" x14ac:dyDescent="0.3">
      <c r="A33" s="66" t="s">
        <v>124</v>
      </c>
      <c r="B33" s="71"/>
      <c r="C33" s="71"/>
      <c r="D33" s="71"/>
      <c r="E33" s="72"/>
      <c r="F33" s="73"/>
      <c r="G33" s="71"/>
      <c r="H33" s="67">
        <f>SUM(G34:G35)</f>
        <v>796400</v>
      </c>
      <c r="I33" s="74"/>
      <c r="J33" s="62"/>
      <c r="K33" s="62"/>
      <c r="L33" s="62"/>
      <c r="M33" s="62"/>
      <c r="N33" s="62"/>
      <c r="O33" s="62"/>
    </row>
    <row r="34" spans="1:15" ht="16.5" x14ac:dyDescent="0.25">
      <c r="A34" s="5" t="s">
        <v>5</v>
      </c>
      <c r="B34" s="5">
        <v>361</v>
      </c>
      <c r="C34" s="5">
        <v>498</v>
      </c>
      <c r="D34" s="197">
        <f>VLOOKUP(RIGHT(LEFT(A33,11),4),'so nguoi'!$E$8:$N$21,2,0)</f>
        <v>6</v>
      </c>
      <c r="E34" s="6">
        <f>C34-B34</f>
        <v>137</v>
      </c>
      <c r="F34" s="9">
        <f>E34</f>
        <v>137</v>
      </c>
      <c r="G34" s="51">
        <f>F34*$L$1</f>
        <v>301400</v>
      </c>
      <c r="H34" s="57"/>
      <c r="I34" s="44"/>
      <c r="J34" s="39"/>
      <c r="K34" s="39"/>
      <c r="L34" s="39"/>
      <c r="M34" s="39"/>
      <c r="N34" s="39"/>
      <c r="O34" s="39"/>
    </row>
    <row r="35" spans="1:15" ht="16.5" x14ac:dyDescent="0.25">
      <c r="A35" s="7" t="s">
        <v>6</v>
      </c>
      <c r="B35" s="7">
        <v>135</v>
      </c>
      <c r="C35" s="7">
        <v>168</v>
      </c>
      <c r="D35" s="197"/>
      <c r="E35" s="8">
        <f>C35-B35</f>
        <v>33</v>
      </c>
      <c r="F35" s="76">
        <f>E35</f>
        <v>33</v>
      </c>
      <c r="G35" s="52">
        <f>F35*$L$2</f>
        <v>495000</v>
      </c>
      <c r="H35" s="57"/>
      <c r="I35" s="44"/>
      <c r="J35" s="39"/>
      <c r="K35" s="39"/>
      <c r="L35" s="39"/>
      <c r="M35" s="39"/>
      <c r="N35" s="39"/>
      <c r="O35" s="39"/>
    </row>
    <row r="36" spans="1:15" s="2" customFormat="1" ht="23.25" customHeight="1" x14ac:dyDescent="0.3">
      <c r="A36" s="66" t="s">
        <v>125</v>
      </c>
      <c r="B36" s="71"/>
      <c r="C36" s="71"/>
      <c r="D36" s="71"/>
      <c r="E36" s="72"/>
      <c r="F36" s="73"/>
      <c r="G36" s="71"/>
      <c r="H36" s="67">
        <f>SUM(G37:G38)</f>
        <v>213400</v>
      </c>
      <c r="I36" s="74"/>
      <c r="J36" s="62"/>
      <c r="K36" s="62"/>
      <c r="L36" s="62"/>
      <c r="M36" s="62"/>
      <c r="N36" s="62"/>
      <c r="O36" s="62"/>
    </row>
    <row r="37" spans="1:15" ht="16.5" x14ac:dyDescent="0.25">
      <c r="A37" s="7" t="s">
        <v>5</v>
      </c>
      <c r="B37" s="7">
        <v>257</v>
      </c>
      <c r="C37" s="7">
        <v>354</v>
      </c>
      <c r="D37" s="197">
        <f>VLOOKUP(RIGHT(LEFT(A36,11),4),'so nguoi'!$E$8:$N$21,2,0)</f>
        <v>0</v>
      </c>
      <c r="E37" s="6">
        <f>C37-B37</f>
        <v>97</v>
      </c>
      <c r="F37" s="9">
        <f>E37</f>
        <v>97</v>
      </c>
      <c r="G37" s="53">
        <f>F37*$L$1</f>
        <v>213400</v>
      </c>
      <c r="H37" s="60"/>
      <c r="I37" s="44"/>
      <c r="J37" s="39"/>
      <c r="K37" s="39"/>
      <c r="L37" s="39"/>
      <c r="M37" s="39"/>
      <c r="N37" s="39"/>
      <c r="O37" s="39"/>
    </row>
    <row r="38" spans="1:15" ht="16.5" x14ac:dyDescent="0.25">
      <c r="A38" s="7" t="s">
        <v>6</v>
      </c>
      <c r="B38" s="7">
        <v>310</v>
      </c>
      <c r="C38" s="7">
        <v>351</v>
      </c>
      <c r="D38" s="197"/>
      <c r="E38" s="8">
        <f>C38-B38</f>
        <v>41</v>
      </c>
      <c r="F38" s="76">
        <f>IF(D37=0,0,(E38/(D37+D40)*D37))</f>
        <v>0</v>
      </c>
      <c r="G38" s="54">
        <f>F38*$L$2</f>
        <v>0</v>
      </c>
      <c r="H38" s="61"/>
      <c r="I38" s="44"/>
      <c r="J38" s="39"/>
      <c r="K38" s="39"/>
      <c r="L38" s="39"/>
      <c r="M38" s="39"/>
      <c r="N38" s="39"/>
      <c r="O38" s="39"/>
    </row>
    <row r="39" spans="1:15" s="2" customFormat="1" ht="23.25" customHeight="1" x14ac:dyDescent="0.3">
      <c r="A39" s="66" t="s">
        <v>126</v>
      </c>
      <c r="B39" s="71"/>
      <c r="C39" s="71"/>
      <c r="D39" s="71"/>
      <c r="E39" s="72"/>
      <c r="F39" s="73"/>
      <c r="G39" s="71"/>
      <c r="H39" s="67">
        <f>SUM(G40:G41)</f>
        <v>169400</v>
      </c>
      <c r="I39" s="74"/>
      <c r="J39" s="62"/>
      <c r="K39" s="62"/>
      <c r="L39" s="62"/>
      <c r="M39" s="62"/>
      <c r="N39" s="62"/>
      <c r="O39" s="62"/>
    </row>
    <row r="40" spans="1:15" ht="16.5" x14ac:dyDescent="0.25">
      <c r="A40" s="5" t="s">
        <v>5</v>
      </c>
      <c r="B40" s="5">
        <v>381</v>
      </c>
      <c r="C40" s="5">
        <v>458</v>
      </c>
      <c r="D40" s="197">
        <f>VLOOKUP(RIGHT(LEFT(A39,11),4),'so nguoi'!$E$8:$N$21,2,0)</f>
        <v>0</v>
      </c>
      <c r="E40" s="6">
        <f>C40-B40</f>
        <v>77</v>
      </c>
      <c r="F40" s="9">
        <f>E40</f>
        <v>77</v>
      </c>
      <c r="G40" s="51">
        <f>F40*$L$1</f>
        <v>169400</v>
      </c>
      <c r="H40" s="57"/>
      <c r="I40" s="44"/>
      <c r="J40" s="39"/>
      <c r="K40" s="39"/>
      <c r="L40" s="39"/>
      <c r="M40" s="39"/>
      <c r="N40" s="39"/>
      <c r="O40" s="39"/>
    </row>
    <row r="41" spans="1:15" ht="16.5" x14ac:dyDescent="0.25">
      <c r="A41" s="7" t="s">
        <v>6</v>
      </c>
      <c r="B41" s="7">
        <f>B38</f>
        <v>310</v>
      </c>
      <c r="C41" s="7">
        <f>C38</f>
        <v>351</v>
      </c>
      <c r="D41" s="197"/>
      <c r="E41" s="8">
        <f>C41-B41</f>
        <v>41</v>
      </c>
      <c r="F41" s="76">
        <f>IF(D40=0,0,(E41/(D40+D37)*D40))</f>
        <v>0</v>
      </c>
      <c r="G41" s="52">
        <f>F41*$L$2</f>
        <v>0</v>
      </c>
      <c r="H41" s="58"/>
      <c r="I41" s="44"/>
      <c r="J41" s="39"/>
      <c r="K41" s="39"/>
      <c r="L41" s="39"/>
      <c r="M41" s="39"/>
      <c r="N41" s="39"/>
      <c r="O41" s="39"/>
    </row>
    <row r="42" spans="1:15" s="2" customFormat="1" ht="23.25" customHeight="1" x14ac:dyDescent="0.3">
      <c r="A42" s="66" t="s">
        <v>127</v>
      </c>
      <c r="B42" s="71"/>
      <c r="C42" s="71"/>
      <c r="D42" s="71"/>
      <c r="E42" s="72"/>
      <c r="F42" s="73"/>
      <c r="G42" s="71"/>
      <c r="H42" s="67">
        <f>SUM(G43:G44)</f>
        <v>812800</v>
      </c>
      <c r="I42" s="74"/>
      <c r="J42" s="62"/>
      <c r="K42" s="62"/>
      <c r="L42" s="62"/>
      <c r="M42" s="62"/>
      <c r="N42" s="62"/>
      <c r="O42" s="62"/>
    </row>
    <row r="43" spans="1:15" ht="16.5" x14ac:dyDescent="0.25">
      <c r="A43" s="5" t="s">
        <v>5</v>
      </c>
      <c r="B43" s="5">
        <v>727</v>
      </c>
      <c r="C43" s="5">
        <v>851</v>
      </c>
      <c r="D43" s="197">
        <f>VLOOKUP(RIGHT(LEFT(A42,11),4),'so nguoi'!$E$8:$N$21,2,0)</f>
        <v>5</v>
      </c>
      <c r="E43" s="6">
        <f>C43-B43</f>
        <v>124</v>
      </c>
      <c r="F43" s="9">
        <f>E43</f>
        <v>124</v>
      </c>
      <c r="G43" s="51">
        <f>F43*$L$1</f>
        <v>272800</v>
      </c>
      <c r="H43" s="57"/>
      <c r="I43" s="44"/>
      <c r="J43" s="39"/>
      <c r="K43" s="39"/>
      <c r="L43" s="39"/>
      <c r="M43" s="39"/>
      <c r="N43" s="39"/>
      <c r="O43" s="39"/>
    </row>
    <row r="44" spans="1:15" ht="16.5" x14ac:dyDescent="0.25">
      <c r="A44" s="7" t="s">
        <v>6</v>
      </c>
      <c r="B44" s="7">
        <v>398</v>
      </c>
      <c r="C44" s="7">
        <v>470</v>
      </c>
      <c r="D44" s="197"/>
      <c r="E44" s="8">
        <f>C44-B44</f>
        <v>72</v>
      </c>
      <c r="F44" s="76">
        <f>IF(D43=0,0,(E44/(D43+D46)*D43))</f>
        <v>36</v>
      </c>
      <c r="G44" s="52">
        <f>F44*$L$2</f>
        <v>540000</v>
      </c>
      <c r="H44" s="58"/>
      <c r="I44" s="44"/>
      <c r="J44" s="39"/>
      <c r="K44" s="39"/>
      <c r="L44" s="39"/>
      <c r="M44" s="39"/>
      <c r="N44" s="39"/>
      <c r="O44" s="39"/>
    </row>
    <row r="45" spans="1:15" s="2" customFormat="1" ht="23.25" customHeight="1" x14ac:dyDescent="0.3">
      <c r="A45" s="66" t="s">
        <v>128</v>
      </c>
      <c r="B45" s="71"/>
      <c r="C45" s="71"/>
      <c r="D45" s="71"/>
      <c r="E45" s="72"/>
      <c r="F45" s="73"/>
      <c r="G45" s="71"/>
      <c r="H45" s="67">
        <f>SUM(G46:G47)</f>
        <v>753400</v>
      </c>
      <c r="I45" s="74"/>
      <c r="J45" s="62"/>
      <c r="K45" s="62"/>
      <c r="L45" s="62"/>
      <c r="M45" s="62"/>
      <c r="N45" s="62"/>
      <c r="O45" s="62"/>
    </row>
    <row r="46" spans="1:15" ht="16.5" x14ac:dyDescent="0.25">
      <c r="A46" s="5" t="s">
        <v>5</v>
      </c>
      <c r="B46" s="5">
        <v>564</v>
      </c>
      <c r="C46" s="5">
        <v>661</v>
      </c>
      <c r="D46" s="197">
        <f>VLOOKUP(RIGHT(LEFT(A45,11),4),'so nguoi'!$E$8:$N$21,2,0)</f>
        <v>5</v>
      </c>
      <c r="E46" s="6">
        <f>C46-B46</f>
        <v>97</v>
      </c>
      <c r="F46" s="9">
        <f>E46</f>
        <v>97</v>
      </c>
      <c r="G46" s="51">
        <f>F46*$L$1</f>
        <v>213400</v>
      </c>
      <c r="H46" s="57"/>
      <c r="I46" s="44"/>
      <c r="J46" s="39"/>
      <c r="K46" s="39"/>
      <c r="L46" s="39"/>
      <c r="M46" s="39"/>
      <c r="N46" s="39"/>
      <c r="O46" s="39"/>
    </row>
    <row r="47" spans="1:15" ht="16.5" x14ac:dyDescent="0.25">
      <c r="A47" s="7" t="s">
        <v>6</v>
      </c>
      <c r="B47" s="7">
        <f>B44</f>
        <v>398</v>
      </c>
      <c r="C47" s="7">
        <f>C44</f>
        <v>470</v>
      </c>
      <c r="D47" s="197"/>
      <c r="E47" s="8">
        <f>C47-B47</f>
        <v>72</v>
      </c>
      <c r="F47" s="76">
        <f>IF(D46=0,0,(E47/(D46+D43)*D46))</f>
        <v>36</v>
      </c>
      <c r="G47" s="52">
        <f>F47*$L$2</f>
        <v>540000</v>
      </c>
      <c r="H47" s="58"/>
      <c r="I47" s="44"/>
      <c r="J47" s="39"/>
      <c r="K47" s="39"/>
      <c r="L47" s="39"/>
      <c r="M47" s="39"/>
      <c r="N47" s="39"/>
      <c r="O47" s="39"/>
    </row>
    <row r="48" spans="1:15" s="2" customFormat="1" ht="23.25" customHeight="1" x14ac:dyDescent="0.3">
      <c r="A48" s="66" t="s">
        <v>129</v>
      </c>
      <c r="B48" s="71"/>
      <c r="C48" s="71"/>
      <c r="D48" s="71"/>
      <c r="E48" s="72"/>
      <c r="F48" s="73"/>
      <c r="G48" s="71"/>
      <c r="H48" s="67">
        <f>SUM(G49:G50)</f>
        <v>561000</v>
      </c>
      <c r="I48" s="74"/>
      <c r="J48" s="62"/>
      <c r="K48" s="62"/>
      <c r="L48" s="62"/>
      <c r="M48" s="62"/>
      <c r="N48" s="62"/>
      <c r="O48" s="62"/>
    </row>
    <row r="49" spans="1:15" ht="16.5" x14ac:dyDescent="0.25">
      <c r="A49" s="5" t="s">
        <v>5</v>
      </c>
      <c r="B49" s="5">
        <v>841</v>
      </c>
      <c r="C49" s="5">
        <v>1021</v>
      </c>
      <c r="D49" s="197">
        <f>VLOOKUP(RIGHT(LEFT(A48,11),4),'so nguoi'!$E$8:$N$21,2,0)</f>
        <v>6</v>
      </c>
      <c r="E49" s="6">
        <f>C49-B49</f>
        <v>180</v>
      </c>
      <c r="F49" s="9">
        <f>E49</f>
        <v>180</v>
      </c>
      <c r="G49" s="51">
        <f>F49*$L$1</f>
        <v>396000</v>
      </c>
      <c r="H49" s="57"/>
      <c r="I49" s="44"/>
      <c r="J49" s="39"/>
      <c r="K49" s="39"/>
      <c r="L49" s="39"/>
      <c r="M49" s="39"/>
      <c r="N49" s="39"/>
      <c r="O49" s="39"/>
    </row>
    <row r="50" spans="1:15" s="23" customFormat="1" ht="16.5" x14ac:dyDescent="0.25">
      <c r="A50" s="92" t="s">
        <v>6</v>
      </c>
      <c r="B50" s="92">
        <v>198</v>
      </c>
      <c r="C50" s="92">
        <v>220</v>
      </c>
      <c r="D50" s="197"/>
      <c r="E50" s="93">
        <f>C50-B50</f>
        <v>22</v>
      </c>
      <c r="F50" s="76">
        <f>IF(D49=0,0,(E50/(D49+D52)*D49))</f>
        <v>11</v>
      </c>
      <c r="G50" s="94">
        <f>F50*$L$2</f>
        <v>165000</v>
      </c>
      <c r="H50" s="78"/>
      <c r="I50" s="79"/>
      <c r="J50" s="81"/>
      <c r="K50" s="81"/>
      <c r="L50" s="81"/>
      <c r="M50" s="81"/>
      <c r="N50" s="81"/>
      <c r="O50" s="81"/>
    </row>
    <row r="51" spans="1:15" s="2" customFormat="1" ht="23.25" customHeight="1" x14ac:dyDescent="0.3">
      <c r="A51" s="66" t="s">
        <v>153</v>
      </c>
      <c r="B51" s="71"/>
      <c r="C51" s="71"/>
      <c r="D51" s="71"/>
      <c r="E51" s="72"/>
      <c r="F51" s="73"/>
      <c r="G51" s="71"/>
      <c r="H51" s="67">
        <f>SUM(G52:G53)</f>
        <v>165000</v>
      </c>
      <c r="I51" s="74"/>
      <c r="J51" s="62"/>
      <c r="K51" s="62"/>
      <c r="L51" s="62"/>
      <c r="M51" s="62"/>
      <c r="N51" s="62"/>
      <c r="O51" s="62"/>
    </row>
    <row r="52" spans="1:15" ht="16.5" x14ac:dyDescent="0.25">
      <c r="A52" s="5" t="s">
        <v>5</v>
      </c>
      <c r="B52" s="5">
        <v>202</v>
      </c>
      <c r="C52" s="5">
        <v>202</v>
      </c>
      <c r="D52" s="197">
        <f>VLOOKUP(RIGHT(LEFT(A51,11),4),'so nguoi'!$E$8:$N$21,2,0)</f>
        <v>6</v>
      </c>
      <c r="E52" s="6">
        <f>C52-B52</f>
        <v>0</v>
      </c>
      <c r="F52" s="9">
        <f>E52</f>
        <v>0</v>
      </c>
      <c r="G52" s="51">
        <f>F52*$L$1</f>
        <v>0</v>
      </c>
      <c r="H52" s="57"/>
      <c r="I52" s="44"/>
      <c r="J52" s="39"/>
      <c r="K52" s="39"/>
      <c r="L52" s="39"/>
      <c r="M52" s="39"/>
      <c r="N52" s="39"/>
      <c r="O52" s="39"/>
    </row>
    <row r="53" spans="1:15" s="23" customFormat="1" ht="16.5" x14ac:dyDescent="0.25">
      <c r="A53" s="92" t="s">
        <v>6</v>
      </c>
      <c r="B53" s="92">
        <f>B50</f>
        <v>198</v>
      </c>
      <c r="C53" s="92">
        <f>C50</f>
        <v>220</v>
      </c>
      <c r="D53" s="197"/>
      <c r="E53" s="93">
        <f>C53-B53</f>
        <v>22</v>
      </c>
      <c r="F53" s="76">
        <f>IF(D52=0,0,(E53/(D52+D49)*D52))</f>
        <v>11</v>
      </c>
      <c r="G53" s="94">
        <f>F53*$L$2</f>
        <v>165000</v>
      </c>
      <c r="H53" s="78"/>
      <c r="I53" s="79">
        <f>SUM(H9:H53)</f>
        <v>6437000</v>
      </c>
      <c r="J53" s="81"/>
      <c r="K53" s="81"/>
      <c r="L53" s="81"/>
      <c r="M53" s="81"/>
      <c r="N53" s="81"/>
      <c r="O53" s="81"/>
    </row>
    <row r="54" spans="1:15" s="2" customFormat="1" ht="23.25" customHeight="1" x14ac:dyDescent="0.3">
      <c r="A54" s="66" t="s">
        <v>156</v>
      </c>
      <c r="B54" s="71"/>
      <c r="C54" s="71"/>
      <c r="D54" s="71"/>
      <c r="E54" s="72"/>
      <c r="F54" s="73"/>
      <c r="G54" s="71"/>
      <c r="H54" s="67" t="e">
        <f>SUM(G55:G56)</f>
        <v>#N/A</v>
      </c>
      <c r="I54" s="74"/>
      <c r="J54" s="62"/>
      <c r="K54" s="62"/>
      <c r="L54" s="62"/>
      <c r="M54" s="62"/>
      <c r="N54" s="62"/>
      <c r="O54" s="62"/>
    </row>
    <row r="55" spans="1:15" ht="16.5" x14ac:dyDescent="0.25">
      <c r="A55" s="5" t="s">
        <v>5</v>
      </c>
      <c r="B55" s="5">
        <v>202</v>
      </c>
      <c r="C55" s="5">
        <v>202</v>
      </c>
      <c r="D55" s="197" t="e">
        <f>VLOOKUP(RIGHT(LEFT(A54,11),4),'so nguoi'!$E$8:$N$21,2,0)</f>
        <v>#N/A</v>
      </c>
      <c r="E55" s="6">
        <f>C55-B55</f>
        <v>0</v>
      </c>
      <c r="F55" s="9">
        <f>E55</f>
        <v>0</v>
      </c>
      <c r="G55" s="51">
        <f>F55*$L$1</f>
        <v>0</v>
      </c>
      <c r="H55" s="57"/>
      <c r="I55" s="44"/>
      <c r="J55" s="39"/>
      <c r="K55" s="39"/>
      <c r="L55" s="39"/>
      <c r="M55" s="39"/>
      <c r="N55" s="39"/>
      <c r="O55" s="39"/>
    </row>
    <row r="56" spans="1:15" s="23" customFormat="1" ht="16.5" x14ac:dyDescent="0.25">
      <c r="A56" s="92" t="s">
        <v>6</v>
      </c>
      <c r="B56" s="92">
        <f>B53</f>
        <v>198</v>
      </c>
      <c r="C56" s="92">
        <f>C53</f>
        <v>220</v>
      </c>
      <c r="D56" s="197"/>
      <c r="E56" s="93">
        <f>C56-B56</f>
        <v>22</v>
      </c>
      <c r="F56" s="76" t="e">
        <f>IF(D55=0,0,(E56/(D55+D52)*D55))</f>
        <v>#N/A</v>
      </c>
      <c r="G56" s="94" t="e">
        <f>F56*$L$2</f>
        <v>#N/A</v>
      </c>
      <c r="H56" s="78"/>
      <c r="I56" s="79" t="e">
        <f>SUM(H12:H56)</f>
        <v>#N/A</v>
      </c>
      <c r="J56" s="81"/>
      <c r="K56" s="81"/>
      <c r="L56" s="81"/>
      <c r="M56" s="81"/>
      <c r="N56" s="81"/>
      <c r="O56" s="81"/>
    </row>
    <row r="57" spans="1:15" ht="19.5" customHeight="1" x14ac:dyDescent="0.25">
      <c r="A57" s="191" t="s">
        <v>11</v>
      </c>
      <c r="B57" s="192"/>
      <c r="C57" s="192"/>
      <c r="D57" s="192"/>
      <c r="E57" s="192"/>
      <c r="F57" s="193"/>
      <c r="G57" s="37">
        <f ca="1">SUMIF($A$8:$F$53,"Điện",G8:G53)</f>
        <v>2552000</v>
      </c>
      <c r="H57" s="37">
        <f ca="1">SUMIF($A$8:$F$53,"Điện",F8:F53)</f>
        <v>1160</v>
      </c>
      <c r="I57" s="63">
        <f ca="1">H57*2200</f>
        <v>2552000</v>
      </c>
      <c r="J57" s="39"/>
      <c r="K57" s="39"/>
      <c r="L57" s="39"/>
      <c r="M57" s="39"/>
      <c r="N57" s="39"/>
      <c r="O57" s="39"/>
    </row>
    <row r="58" spans="1:15" ht="18" customHeight="1" x14ac:dyDescent="0.25">
      <c r="A58" s="191" t="s">
        <v>12</v>
      </c>
      <c r="B58" s="192"/>
      <c r="C58" s="192"/>
      <c r="D58" s="192"/>
      <c r="E58" s="192"/>
      <c r="F58" s="193"/>
      <c r="G58" s="37">
        <f ca="1">SUMIF($A$8:$F$53,"Nước",G8:G53)</f>
        <v>3885000</v>
      </c>
      <c r="H58" s="37">
        <f ca="1">SUMIF($A$9:$E$53,A50,$F$9:$F$53)</f>
        <v>259</v>
      </c>
      <c r="I58" s="63">
        <f ca="1">H58*15000</f>
        <v>3885000</v>
      </c>
      <c r="J58" s="39"/>
      <c r="K58" s="39"/>
      <c r="L58" s="39"/>
      <c r="M58" s="39"/>
      <c r="N58" s="39"/>
      <c r="O58" s="39"/>
    </row>
    <row r="59" spans="1:15" ht="17.25" customHeight="1" x14ac:dyDescent="0.25">
      <c r="A59" s="191" t="s">
        <v>13</v>
      </c>
      <c r="B59" s="192"/>
      <c r="C59" s="192"/>
      <c r="D59" s="192"/>
      <c r="E59" s="192"/>
      <c r="F59" s="193"/>
      <c r="G59" s="37">
        <f ca="1">SUM(G57:G58)</f>
        <v>6437000</v>
      </c>
      <c r="H59" s="38"/>
      <c r="I59" s="63">
        <f ca="1">I57+I58</f>
        <v>6437000</v>
      </c>
      <c r="J59" s="63">
        <f ca="1">I59-G59</f>
        <v>0</v>
      </c>
      <c r="K59" s="39"/>
      <c r="L59" s="39"/>
      <c r="M59" s="39"/>
      <c r="N59" s="39"/>
      <c r="O59" s="39"/>
    </row>
    <row r="60" spans="1:15" x14ac:dyDescent="0.25">
      <c r="A60" s="39"/>
      <c r="B60" s="39"/>
      <c r="C60" s="39"/>
      <c r="D60" s="40"/>
      <c r="E60" s="41"/>
      <c r="F60" s="194" t="str">
        <f ca="1">" TP. Hồ Chí Minh, ngày "&amp;DAY(NOW())&amp;" tháng "&amp;MONTH(NOW())&amp;" năm "&amp;YEAR(NOW())</f>
        <v xml:space="preserve"> TP. Hồ Chí Minh, ngày 5 tháng 5 năm 2021</v>
      </c>
      <c r="G60" s="194"/>
      <c r="H60" s="194"/>
      <c r="I60" s="44"/>
      <c r="J60" s="63"/>
      <c r="K60" s="63"/>
      <c r="L60" s="39"/>
      <c r="M60" s="39"/>
      <c r="N60" s="39"/>
      <c r="O60" s="39"/>
    </row>
    <row r="61" spans="1:15" x14ac:dyDescent="0.25">
      <c r="A61" s="195" t="s">
        <v>15</v>
      </c>
      <c r="B61" s="195"/>
      <c r="C61" s="195"/>
      <c r="D61" s="40"/>
      <c r="E61" s="41"/>
      <c r="F61" s="196" t="s">
        <v>14</v>
      </c>
      <c r="G61" s="196"/>
      <c r="H61" s="196"/>
      <c r="I61" s="44"/>
      <c r="J61" s="63"/>
      <c r="K61" s="39"/>
      <c r="L61" s="39"/>
      <c r="M61" s="39"/>
      <c r="N61" s="39"/>
      <c r="O61" s="39"/>
    </row>
    <row r="62" spans="1:15" x14ac:dyDescent="0.25">
      <c r="A62" s="39"/>
      <c r="B62" s="39"/>
      <c r="C62" s="39"/>
      <c r="D62" s="40"/>
      <c r="E62" s="41"/>
      <c r="F62" s="42"/>
      <c r="G62" s="43"/>
      <c r="H62" s="44"/>
    </row>
    <row r="63" spans="1:15" x14ac:dyDescent="0.25">
      <c r="A63" s="39"/>
      <c r="B63" s="39"/>
      <c r="C63" s="39"/>
      <c r="D63" s="40"/>
      <c r="E63" s="41"/>
      <c r="F63" s="42"/>
      <c r="G63" s="41"/>
      <c r="H63" s="39"/>
    </row>
    <row r="64" spans="1:15" x14ac:dyDescent="0.25">
      <c r="A64" s="39"/>
      <c r="B64" s="39"/>
      <c r="C64" s="39"/>
      <c r="D64" s="40"/>
      <c r="E64" s="41"/>
      <c r="F64" s="42"/>
      <c r="G64" s="45"/>
      <c r="H64" s="39"/>
    </row>
    <row r="65" spans="1:9" x14ac:dyDescent="0.25">
      <c r="A65" s="187" t="s">
        <v>119</v>
      </c>
      <c r="B65" s="187"/>
      <c r="C65" s="187"/>
      <c r="D65" s="40"/>
      <c r="E65" s="41"/>
      <c r="F65" s="188" t="s">
        <v>144</v>
      </c>
      <c r="G65" s="188"/>
      <c r="H65" s="188"/>
    </row>
    <row r="66" spans="1:9" ht="24.4" customHeight="1" x14ac:dyDescent="0.25">
      <c r="A66" s="1"/>
      <c r="I66"/>
    </row>
    <row r="67" spans="1:9" ht="28.15" customHeight="1" x14ac:dyDescent="0.25">
      <c r="A67" s="189"/>
      <c r="B67" s="189"/>
      <c r="D67"/>
      <c r="E67"/>
      <c r="F67"/>
      <c r="G67"/>
      <c r="I67"/>
    </row>
    <row r="68" spans="1:9" ht="24.4" customHeight="1" x14ac:dyDescent="0.25">
      <c r="D68"/>
      <c r="E68"/>
      <c r="F68"/>
      <c r="G68"/>
      <c r="I68"/>
    </row>
    <row r="69" spans="1:9" ht="30" customHeight="1" x14ac:dyDescent="0.25">
      <c r="I69"/>
    </row>
    <row r="70" spans="1:9" ht="28.15" customHeight="1" x14ac:dyDescent="0.25">
      <c r="I70"/>
    </row>
    <row r="71" spans="1:9" ht="24.4" customHeight="1" x14ac:dyDescent="0.25">
      <c r="I71"/>
    </row>
    <row r="72" spans="1:9" ht="27.75" customHeight="1" x14ac:dyDescent="0.25">
      <c r="I72"/>
    </row>
    <row r="73" spans="1:9" ht="28.15" customHeight="1" x14ac:dyDescent="0.25">
      <c r="I73"/>
    </row>
    <row r="74" spans="1:9" s="2" customFormat="1" ht="24.4" customHeight="1" x14ac:dyDescent="0.25">
      <c r="A74"/>
      <c r="B74"/>
      <c r="C74"/>
      <c r="D74" s="4"/>
      <c r="E74" s="3"/>
      <c r="F74" s="10"/>
      <c r="G74" s="3"/>
      <c r="H74"/>
    </row>
    <row r="75" spans="1:9" ht="30" customHeight="1" x14ac:dyDescent="0.25">
      <c r="I75"/>
    </row>
    <row r="76" spans="1:9" ht="28.15" customHeight="1" x14ac:dyDescent="0.25">
      <c r="I76"/>
    </row>
    <row r="77" spans="1:9" s="2" customFormat="1" ht="24.4" customHeight="1" x14ac:dyDescent="0.25">
      <c r="A77"/>
      <c r="B77"/>
      <c r="C77"/>
      <c r="D77" s="4"/>
      <c r="E77" s="3"/>
      <c r="F77" s="10"/>
      <c r="G77" s="3"/>
      <c r="H77"/>
    </row>
    <row r="78" spans="1:9" ht="30.2" customHeight="1" x14ac:dyDescent="0.25">
      <c r="I78"/>
    </row>
    <row r="79" spans="1:9" ht="28.15" customHeight="1" x14ac:dyDescent="0.25">
      <c r="I79"/>
    </row>
    <row r="80" spans="1:9" s="2" customFormat="1" ht="24.4" customHeight="1" x14ac:dyDescent="0.25">
      <c r="A80"/>
      <c r="B80"/>
      <c r="C80"/>
      <c r="D80" s="4"/>
      <c r="E80" s="3"/>
      <c r="F80" s="10"/>
      <c r="G80" s="3"/>
      <c r="H80"/>
    </row>
    <row r="81" spans="1:9" ht="30" customHeight="1" x14ac:dyDescent="0.25">
      <c r="I81"/>
    </row>
    <row r="82" spans="1:9" ht="28.15" customHeight="1" x14ac:dyDescent="0.25">
      <c r="I82"/>
    </row>
    <row r="83" spans="1:9" s="2" customFormat="1" ht="24.4" customHeight="1" x14ac:dyDescent="0.25">
      <c r="A83"/>
      <c r="B83"/>
      <c r="C83"/>
      <c r="D83" s="4"/>
      <c r="E83" s="3"/>
      <c r="F83" s="10"/>
      <c r="G83" s="3"/>
      <c r="H83"/>
    </row>
    <row r="84" spans="1:9" ht="30" customHeight="1" x14ac:dyDescent="0.25">
      <c r="I84"/>
    </row>
    <row r="85" spans="1:9" ht="28.15" customHeight="1" x14ac:dyDescent="0.25">
      <c r="I85"/>
    </row>
    <row r="86" spans="1:9" s="2" customFormat="1" ht="24.4" customHeight="1" x14ac:dyDescent="0.25">
      <c r="A86"/>
      <c r="B86"/>
      <c r="C86"/>
      <c r="D86" s="4"/>
      <c r="E86" s="3"/>
      <c r="F86" s="10"/>
      <c r="G86" s="3"/>
      <c r="H86"/>
    </row>
    <row r="87" spans="1:9" ht="30" customHeight="1" x14ac:dyDescent="0.25">
      <c r="I87"/>
    </row>
    <row r="88" spans="1:9" ht="28.15" customHeight="1" x14ac:dyDescent="0.25">
      <c r="I88"/>
    </row>
    <row r="89" spans="1:9" s="2" customFormat="1" ht="24.4" customHeight="1" x14ac:dyDescent="0.25">
      <c r="A89"/>
      <c r="B89"/>
      <c r="C89"/>
      <c r="D89" s="4"/>
      <c r="E89" s="3"/>
      <c r="F89" s="10"/>
      <c r="G89" s="3"/>
      <c r="H89"/>
    </row>
    <row r="90" spans="1:9" ht="30" customHeight="1" x14ac:dyDescent="0.25">
      <c r="I90"/>
    </row>
    <row r="91" spans="1:9" ht="28.15" customHeight="1" x14ac:dyDescent="0.25">
      <c r="I91"/>
    </row>
    <row r="92" spans="1:9" s="2" customFormat="1" ht="24.4" customHeight="1" x14ac:dyDescent="0.25">
      <c r="A92"/>
      <c r="B92"/>
      <c r="C92"/>
      <c r="D92" s="4"/>
      <c r="E92" s="3"/>
      <c r="F92" s="10"/>
      <c r="G92" s="3"/>
      <c r="H92"/>
    </row>
    <row r="93" spans="1:9" ht="30" customHeight="1" x14ac:dyDescent="0.25">
      <c r="I93"/>
    </row>
    <row r="94" spans="1:9" ht="28.15" customHeight="1" x14ac:dyDescent="0.25">
      <c r="I94"/>
    </row>
    <row r="95" spans="1:9" s="2" customFormat="1" ht="24.4" customHeight="1" x14ac:dyDescent="0.25">
      <c r="A95"/>
      <c r="B95"/>
      <c r="C95"/>
      <c r="D95" s="4"/>
      <c r="E95" s="3"/>
      <c r="F95" s="10"/>
      <c r="G95" s="3"/>
      <c r="H95"/>
    </row>
    <row r="96" spans="1:9" ht="27.75" customHeight="1" x14ac:dyDescent="0.25">
      <c r="I96"/>
    </row>
    <row r="97" spans="1:9" ht="28.15" customHeight="1" x14ac:dyDescent="0.25">
      <c r="I97"/>
    </row>
    <row r="98" spans="1:9" s="2" customFormat="1" ht="24.4" customHeight="1" x14ac:dyDescent="0.25">
      <c r="A98"/>
      <c r="B98"/>
      <c r="C98"/>
      <c r="D98" s="4"/>
      <c r="E98" s="3"/>
      <c r="F98" s="10"/>
      <c r="G98" s="3"/>
      <c r="H98"/>
    </row>
    <row r="99" spans="1:9" ht="30" customHeight="1" x14ac:dyDescent="0.25">
      <c r="I99"/>
    </row>
    <row r="100" spans="1:9" ht="28.15" customHeight="1" x14ac:dyDescent="0.25">
      <c r="I100"/>
    </row>
    <row r="101" spans="1:9" s="2" customFormat="1" ht="24.4" customHeight="1" x14ac:dyDescent="0.25">
      <c r="A101"/>
      <c r="B101"/>
      <c r="C101"/>
      <c r="D101" s="4"/>
      <c r="E101" s="3"/>
      <c r="F101" s="10"/>
      <c r="G101" s="3"/>
      <c r="H101"/>
    </row>
    <row r="102" spans="1:9" ht="30.2" customHeight="1" x14ac:dyDescent="0.25">
      <c r="I102"/>
    </row>
    <row r="103" spans="1:9" ht="28.15" customHeight="1" x14ac:dyDescent="0.25">
      <c r="I103"/>
    </row>
    <row r="104" spans="1:9" s="2" customFormat="1" ht="24.4" customHeight="1" x14ac:dyDescent="0.25">
      <c r="A104"/>
      <c r="B104"/>
      <c r="C104"/>
      <c r="D104" s="4"/>
      <c r="E104" s="3"/>
      <c r="F104" s="10"/>
      <c r="G104" s="3"/>
      <c r="H104"/>
    </row>
    <row r="105" spans="1:9" ht="30" customHeight="1" x14ac:dyDescent="0.25">
      <c r="I105"/>
    </row>
    <row r="106" spans="1:9" ht="28.15" customHeight="1" x14ac:dyDescent="0.25">
      <c r="I106"/>
    </row>
    <row r="107" spans="1:9" s="2" customFormat="1" ht="24.4" customHeight="1" x14ac:dyDescent="0.25">
      <c r="A107"/>
      <c r="B107"/>
      <c r="C107"/>
      <c r="D107" s="4"/>
      <c r="E107" s="3"/>
      <c r="F107" s="10"/>
      <c r="G107" s="3"/>
      <c r="H107"/>
    </row>
    <row r="108" spans="1:9" ht="30" customHeight="1" x14ac:dyDescent="0.25">
      <c r="I108"/>
    </row>
    <row r="109" spans="1:9" ht="28.15" customHeight="1" x14ac:dyDescent="0.25">
      <c r="I109"/>
    </row>
    <row r="110" spans="1:9" s="2" customFormat="1" ht="24.4" customHeight="1" x14ac:dyDescent="0.25">
      <c r="A110"/>
      <c r="B110"/>
      <c r="C110"/>
      <c r="D110" s="4"/>
      <c r="E110" s="3"/>
      <c r="F110" s="10"/>
      <c r="G110" s="3"/>
      <c r="H110"/>
    </row>
    <row r="111" spans="1:9" ht="30" customHeight="1" x14ac:dyDescent="0.25">
      <c r="I111"/>
    </row>
    <row r="112" spans="1:9" ht="28.15" customHeight="1" x14ac:dyDescent="0.25">
      <c r="I112"/>
    </row>
    <row r="113" spans="1:9" s="2" customFormat="1" ht="24.4" customHeight="1" x14ac:dyDescent="0.25">
      <c r="A113"/>
      <c r="B113"/>
      <c r="C113"/>
      <c r="D113" s="4"/>
      <c r="E113" s="3"/>
      <c r="F113" s="10"/>
      <c r="G113" s="3"/>
      <c r="H113"/>
    </row>
    <row r="114" spans="1:9" ht="30" customHeight="1" x14ac:dyDescent="0.25">
      <c r="I114"/>
    </row>
    <row r="115" spans="1:9" ht="28.15" customHeight="1" x14ac:dyDescent="0.25">
      <c r="I115"/>
    </row>
    <row r="116" spans="1:9" s="2" customFormat="1" ht="24.4" customHeight="1" x14ac:dyDescent="0.25">
      <c r="A116"/>
      <c r="B116"/>
      <c r="C116"/>
      <c r="D116" s="4"/>
      <c r="E116" s="3"/>
      <c r="F116" s="10"/>
      <c r="G116" s="3"/>
      <c r="H116"/>
    </row>
    <row r="117" spans="1:9" ht="30" customHeight="1" x14ac:dyDescent="0.25">
      <c r="I117"/>
    </row>
    <row r="118" spans="1:9" ht="28.15" customHeight="1" x14ac:dyDescent="0.25">
      <c r="I118"/>
    </row>
    <row r="119" spans="1:9" s="2" customFormat="1" ht="24.4" customHeight="1" x14ac:dyDescent="0.25">
      <c r="A119"/>
      <c r="B119"/>
      <c r="C119"/>
      <c r="D119" s="4"/>
      <c r="E119" s="3"/>
      <c r="F119" s="10"/>
      <c r="G119" s="3"/>
      <c r="H119"/>
    </row>
    <row r="120" spans="1:9" ht="27.75" customHeight="1" x14ac:dyDescent="0.25">
      <c r="I120"/>
    </row>
    <row r="121" spans="1:9" ht="28.15" customHeight="1" x14ac:dyDescent="0.25">
      <c r="I121"/>
    </row>
    <row r="122" spans="1:9" s="2" customFormat="1" ht="24.4" customHeight="1" x14ac:dyDescent="0.25">
      <c r="A122"/>
      <c r="B122"/>
      <c r="C122"/>
      <c r="D122" s="4"/>
      <c r="E122" s="3"/>
      <c r="F122" s="10"/>
      <c r="G122" s="3"/>
      <c r="H122"/>
    </row>
    <row r="123" spans="1:9" ht="30" customHeight="1" x14ac:dyDescent="0.25">
      <c r="I123"/>
    </row>
    <row r="124" spans="1:9" ht="28.15" customHeight="1" x14ac:dyDescent="0.25">
      <c r="I124"/>
    </row>
    <row r="125" spans="1:9" s="2" customFormat="1" ht="24.4" customHeight="1" x14ac:dyDescent="0.25">
      <c r="A125"/>
      <c r="B125"/>
      <c r="C125"/>
      <c r="D125" s="4"/>
      <c r="E125" s="3"/>
      <c r="F125" s="10"/>
      <c r="G125" s="3"/>
      <c r="H125"/>
    </row>
    <row r="126" spans="1:9" ht="30.2" customHeight="1" x14ac:dyDescent="0.25">
      <c r="I126"/>
    </row>
    <row r="127" spans="1:9" ht="28.15" customHeight="1" x14ac:dyDescent="0.25">
      <c r="I127"/>
    </row>
    <row r="128" spans="1:9" s="2" customFormat="1" ht="24.4" customHeight="1" x14ac:dyDescent="0.25">
      <c r="A128"/>
      <c r="B128"/>
      <c r="C128"/>
      <c r="D128" s="4"/>
      <c r="E128" s="3"/>
      <c r="F128" s="10"/>
      <c r="G128" s="3"/>
      <c r="H128"/>
    </row>
    <row r="129" spans="1:9" ht="30" customHeight="1" x14ac:dyDescent="0.25">
      <c r="I129"/>
    </row>
    <row r="130" spans="1:9" ht="28.15" customHeight="1" x14ac:dyDescent="0.25">
      <c r="I130"/>
    </row>
    <row r="131" spans="1:9" s="2" customFormat="1" ht="24.4" customHeight="1" x14ac:dyDescent="0.25">
      <c r="A131"/>
      <c r="B131"/>
      <c r="C131"/>
      <c r="D131" s="4"/>
      <c r="E131" s="3"/>
      <c r="F131" s="10"/>
      <c r="G131" s="3"/>
      <c r="H131"/>
    </row>
    <row r="132" spans="1:9" ht="30" customHeight="1" x14ac:dyDescent="0.25">
      <c r="I132"/>
    </row>
    <row r="133" spans="1:9" ht="28.15" customHeight="1" x14ac:dyDescent="0.25">
      <c r="I133"/>
    </row>
    <row r="134" spans="1:9" s="2" customFormat="1" ht="24.4" customHeight="1" x14ac:dyDescent="0.25">
      <c r="A134"/>
      <c r="B134"/>
      <c r="C134"/>
      <c r="D134" s="4"/>
      <c r="E134" s="3"/>
      <c r="F134" s="10"/>
      <c r="G134" s="3"/>
      <c r="H134"/>
    </row>
    <row r="135" spans="1:9" ht="30" customHeight="1" x14ac:dyDescent="0.25">
      <c r="I135"/>
    </row>
    <row r="136" spans="1:9" ht="28.15" customHeight="1" x14ac:dyDescent="0.25">
      <c r="I136"/>
    </row>
    <row r="137" spans="1:9" s="2" customFormat="1" ht="24.4" customHeight="1" x14ac:dyDescent="0.25">
      <c r="A137"/>
      <c r="B137"/>
      <c r="C137"/>
      <c r="D137" s="4"/>
      <c r="E137" s="3"/>
      <c r="F137" s="10"/>
      <c r="G137" s="3"/>
      <c r="H137"/>
    </row>
    <row r="138" spans="1:9" ht="30" customHeight="1" x14ac:dyDescent="0.25">
      <c r="I138"/>
    </row>
    <row r="139" spans="1:9" ht="28.15" customHeight="1" x14ac:dyDescent="0.25">
      <c r="I139"/>
    </row>
    <row r="140" spans="1:9" ht="24.4" customHeight="1" x14ac:dyDescent="0.25">
      <c r="I140"/>
    </row>
    <row r="141" spans="1:9" ht="30" customHeight="1" x14ac:dyDescent="0.25">
      <c r="I141"/>
    </row>
    <row r="142" spans="1:9" ht="28.15" customHeight="1" x14ac:dyDescent="0.25">
      <c r="I142"/>
    </row>
    <row r="143" spans="1:9" s="2" customFormat="1" ht="24.4" customHeight="1" x14ac:dyDescent="0.25">
      <c r="A143"/>
      <c r="B143"/>
      <c r="C143"/>
      <c r="D143" s="4"/>
      <c r="E143" s="3"/>
      <c r="F143" s="10"/>
      <c r="G143" s="3"/>
      <c r="H143"/>
    </row>
    <row r="144" spans="1:9" ht="27.75" customHeight="1" x14ac:dyDescent="0.25">
      <c r="I144"/>
    </row>
    <row r="145" spans="1:9" ht="28.15" customHeight="1" x14ac:dyDescent="0.25">
      <c r="I145"/>
    </row>
    <row r="146" spans="1:9" s="2" customFormat="1" ht="24.4" customHeight="1" x14ac:dyDescent="0.25">
      <c r="A146"/>
      <c r="B146"/>
      <c r="C146"/>
      <c r="D146" s="4"/>
      <c r="E146" s="3"/>
      <c r="F146" s="10"/>
      <c r="G146" s="3"/>
      <c r="H146"/>
    </row>
    <row r="147" spans="1:9" ht="30" customHeight="1" x14ac:dyDescent="0.25">
      <c r="I147"/>
    </row>
    <row r="148" spans="1:9" ht="28.15" customHeight="1" x14ac:dyDescent="0.25">
      <c r="I148"/>
    </row>
    <row r="149" spans="1:9" s="2" customFormat="1" ht="24.4" customHeight="1" x14ac:dyDescent="0.25">
      <c r="A149"/>
      <c r="B149"/>
      <c r="C149"/>
      <c r="D149" s="4"/>
      <c r="E149" s="3"/>
      <c r="F149" s="10"/>
      <c r="G149" s="3"/>
      <c r="H149"/>
    </row>
    <row r="150" spans="1:9" ht="30" customHeight="1" x14ac:dyDescent="0.25">
      <c r="I150"/>
    </row>
    <row r="151" spans="1:9" ht="28.15" customHeight="1" x14ac:dyDescent="0.25">
      <c r="I151"/>
    </row>
    <row r="152" spans="1:9" s="2" customFormat="1" ht="24.4" customHeight="1" x14ac:dyDescent="0.25">
      <c r="A152"/>
      <c r="B152"/>
      <c r="C152"/>
      <c r="D152" s="4"/>
      <c r="E152" s="3"/>
      <c r="F152" s="10"/>
      <c r="G152" s="3"/>
      <c r="H152"/>
    </row>
    <row r="153" spans="1:9" ht="30.6" customHeight="1" x14ac:dyDescent="0.25">
      <c r="I153"/>
    </row>
    <row r="154" spans="1:9" s="2" customFormat="1" ht="24.4" customHeight="1" x14ac:dyDescent="0.25">
      <c r="A154"/>
      <c r="B154"/>
      <c r="C154"/>
      <c r="D154" s="4"/>
      <c r="E154" s="3"/>
      <c r="F154" s="10"/>
      <c r="G154" s="3"/>
      <c r="H154"/>
    </row>
    <row r="155" spans="1:9" ht="30.4" customHeight="1" x14ac:dyDescent="0.25">
      <c r="I155"/>
    </row>
    <row r="156" spans="1:9" s="2" customFormat="1" ht="24.4" customHeight="1" x14ac:dyDescent="0.25">
      <c r="A156"/>
      <c r="B156"/>
      <c r="C156"/>
      <c r="D156" s="4"/>
      <c r="E156" s="3"/>
      <c r="F156" s="10"/>
      <c r="G156" s="3"/>
      <c r="H156"/>
    </row>
    <row r="157" spans="1:9" ht="30.4" customHeight="1" x14ac:dyDescent="0.25">
      <c r="I157"/>
    </row>
    <row r="158" spans="1:9" s="2" customFormat="1" ht="24.4" customHeight="1" x14ac:dyDescent="0.25">
      <c r="A158"/>
      <c r="B158"/>
      <c r="C158"/>
      <c r="D158" s="4"/>
      <c r="E158" s="3"/>
      <c r="F158" s="10"/>
      <c r="G158" s="3"/>
      <c r="H158"/>
    </row>
    <row r="159" spans="1:9" ht="30.4" customHeight="1" x14ac:dyDescent="0.25">
      <c r="I159"/>
    </row>
    <row r="160" spans="1:9" s="2" customFormat="1" ht="24.4" customHeight="1" x14ac:dyDescent="0.25">
      <c r="A160"/>
      <c r="B160"/>
      <c r="C160"/>
      <c r="D160" s="4"/>
      <c r="E160" s="3"/>
      <c r="F160" s="10"/>
      <c r="G160" s="3"/>
      <c r="H160"/>
    </row>
    <row r="161" spans="9:11" ht="30.4" customHeight="1" x14ac:dyDescent="0.25">
      <c r="I161"/>
    </row>
    <row r="164" spans="9:11" x14ac:dyDescent="0.25">
      <c r="J164" s="11"/>
    </row>
    <row r="166" spans="9:11" x14ac:dyDescent="0.25">
      <c r="J166" s="11"/>
      <c r="K166" s="11"/>
    </row>
    <row r="167" spans="9:11" x14ac:dyDescent="0.25">
      <c r="J167" s="11"/>
    </row>
  </sheetData>
  <mergeCells count="29">
    <mergeCell ref="A5:H5"/>
    <mergeCell ref="A67:B67"/>
    <mergeCell ref="D25:D26"/>
    <mergeCell ref="D10:D11"/>
    <mergeCell ref="A61:C61"/>
    <mergeCell ref="A57:F57"/>
    <mergeCell ref="A58:F58"/>
    <mergeCell ref="A59:F59"/>
    <mergeCell ref="F60:H60"/>
    <mergeCell ref="F61:H61"/>
    <mergeCell ref="A65:C65"/>
    <mergeCell ref="F65:H65"/>
    <mergeCell ref="D55:D56"/>
    <mergeCell ref="A1:H1"/>
    <mergeCell ref="A2:H2"/>
    <mergeCell ref="D43:D44"/>
    <mergeCell ref="D46:D47"/>
    <mergeCell ref="D52:D53"/>
    <mergeCell ref="D13:D14"/>
    <mergeCell ref="D22:D23"/>
    <mergeCell ref="A4:H4"/>
    <mergeCell ref="D37:D38"/>
    <mergeCell ref="D40:D41"/>
    <mergeCell ref="D49:D50"/>
    <mergeCell ref="D31:D32"/>
    <mergeCell ref="D34:D35"/>
    <mergeCell ref="D16:D17"/>
    <mergeCell ref="D19:D20"/>
    <mergeCell ref="D28:D29"/>
  </mergeCells>
  <phoneticPr fontId="0" type="noConversion"/>
  <pageMargins left="0.25" right="0.2" top="0.42" bottom="0.41" header="0.18" footer="0.19"/>
  <pageSetup paperSize="9" scale="99" fitToHeight="0" orientation="portrait" r:id="rId1"/>
  <headerFooter alignWithMargins="0"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view="pageBreakPreview" topLeftCell="A37" zoomScaleNormal="100" zoomScaleSheetLayoutView="100" workbookViewId="0">
      <selection activeCell="AE8" sqref="AE8"/>
    </sheetView>
  </sheetViews>
  <sheetFormatPr defaultRowHeight="15" x14ac:dyDescent="0.25"/>
  <cols>
    <col min="1" max="1" width="15.140625" customWidth="1"/>
    <col min="2" max="2" width="8.28515625" style="108" customWidth="1"/>
    <col min="3" max="3" width="8.7109375" style="108" customWidth="1"/>
    <col min="4" max="4" width="7.140625" style="4" hidden="1" customWidth="1"/>
    <col min="5" max="5" width="7.5703125" style="3" customWidth="1"/>
    <col min="6" max="6" width="12.85546875" style="10" customWidth="1"/>
    <col min="7" max="7" width="23" style="3" customWidth="1"/>
    <col min="8" max="8" width="18.5703125" customWidth="1"/>
    <col min="9" max="9" width="13.28515625" style="17" hidden="1" customWidth="1"/>
    <col min="10" max="10" width="19.28515625" hidden="1" customWidth="1"/>
    <col min="11" max="11" width="8.28515625" hidden="1" customWidth="1"/>
    <col min="12" max="12" width="9.85546875" hidden="1" customWidth="1"/>
    <col min="13" max="13" width="10.5703125" hidden="1" customWidth="1"/>
    <col min="14" max="14" width="13.28515625" hidden="1" customWidth="1"/>
    <col min="15" max="15" width="18.140625" hidden="1" customWidth="1"/>
    <col min="16" max="27" width="0" hidden="1" customWidth="1"/>
  </cols>
  <sheetData>
    <row r="1" spans="1:15" ht="15.75" x14ac:dyDescent="0.25">
      <c r="A1" s="64" t="s">
        <v>134</v>
      </c>
      <c r="B1" s="64"/>
      <c r="C1" s="64"/>
      <c r="D1" s="64"/>
      <c r="E1" s="64"/>
      <c r="F1" s="64"/>
      <c r="G1" s="64"/>
      <c r="H1" s="64"/>
      <c r="K1" t="s">
        <v>118</v>
      </c>
      <c r="L1" s="12" t="s">
        <v>243</v>
      </c>
    </row>
    <row r="2" spans="1:15" ht="15.75" x14ac:dyDescent="0.25">
      <c r="A2" s="210" t="s">
        <v>135</v>
      </c>
      <c r="B2" s="210"/>
      <c r="C2" s="210"/>
      <c r="D2" s="210"/>
      <c r="E2" s="210"/>
      <c r="F2" s="210"/>
      <c r="G2" s="210"/>
      <c r="H2" s="210"/>
      <c r="K2" t="s">
        <v>7</v>
      </c>
      <c r="L2">
        <v>2900</v>
      </c>
    </row>
    <row r="3" spans="1:15" x14ac:dyDescent="0.25">
      <c r="A3" s="39"/>
      <c r="B3" s="113"/>
      <c r="C3" s="113"/>
      <c r="D3" s="40"/>
      <c r="E3" s="41"/>
      <c r="F3" s="42"/>
      <c r="G3" s="41"/>
      <c r="H3" s="39"/>
      <c r="K3" t="s">
        <v>8</v>
      </c>
      <c r="L3">
        <v>18000</v>
      </c>
    </row>
    <row r="4" spans="1:15" ht="16.5" x14ac:dyDescent="0.25">
      <c r="A4" s="185" t="s">
        <v>245</v>
      </c>
      <c r="B4" s="185"/>
      <c r="C4" s="185"/>
      <c r="D4" s="185"/>
      <c r="E4" s="185"/>
      <c r="F4" s="185"/>
      <c r="G4" s="185"/>
      <c r="H4" s="185"/>
      <c r="J4" t="s">
        <v>31</v>
      </c>
      <c r="K4" t="s">
        <v>117</v>
      </c>
      <c r="L4" t="s">
        <v>29</v>
      </c>
      <c r="M4" t="s">
        <v>30</v>
      </c>
      <c r="N4" t="s">
        <v>115</v>
      </c>
      <c r="O4" t="s">
        <v>116</v>
      </c>
    </row>
    <row r="5" spans="1:15" ht="33" x14ac:dyDescent="0.25">
      <c r="A5" s="190"/>
      <c r="B5" s="190"/>
      <c r="C5" s="190"/>
      <c r="D5" s="190"/>
      <c r="E5" s="190"/>
      <c r="F5" s="190"/>
      <c r="G5" s="190"/>
      <c r="H5" s="190"/>
      <c r="J5" s="27" t="s">
        <v>237</v>
      </c>
      <c r="K5" s="108">
        <v>920</v>
      </c>
      <c r="L5" s="108">
        <v>931</v>
      </c>
      <c r="M5">
        <f>L5-K5</f>
        <v>11</v>
      </c>
      <c r="N5" s="36">
        <f>'so nguoi'!H8+'so nguoi'!H9+'so nguoi'!H10+'so nguoi'!H16+'so nguoi'!H17+'so nguoi'!H18</f>
        <v>23</v>
      </c>
      <c r="O5">
        <f>M5/N5</f>
        <v>0.47826086956521741</v>
      </c>
    </row>
    <row r="6" spans="1:15" ht="18" customHeight="1" x14ac:dyDescent="0.25">
      <c r="A6" s="39"/>
      <c r="B6" s="113"/>
      <c r="C6" s="113"/>
      <c r="D6" s="40"/>
      <c r="E6" s="41"/>
      <c r="G6" s="56" t="s">
        <v>234</v>
      </c>
      <c r="H6" s="56"/>
      <c r="I6" s="50"/>
      <c r="J6" t="s">
        <v>238</v>
      </c>
      <c r="K6" s="108">
        <v>513</v>
      </c>
      <c r="L6" s="108">
        <v>524</v>
      </c>
      <c r="M6">
        <f>L6-K6</f>
        <v>11</v>
      </c>
      <c r="N6" s="36">
        <f>'so nguoi'!H11+'so nguoi'!H12+'so nguoi'!H13+'so nguoi'!H14+'so nguoi'!H15</f>
        <v>23</v>
      </c>
      <c r="O6">
        <f t="shared" ref="O6:O10" si="0">M6/N6</f>
        <v>0.47826086956521741</v>
      </c>
    </row>
    <row r="7" spans="1:15" ht="18.75" customHeight="1" x14ac:dyDescent="0.25">
      <c r="A7" s="39"/>
      <c r="B7" s="113"/>
      <c r="C7" s="113"/>
      <c r="D7" s="40"/>
      <c r="E7" s="41"/>
      <c r="G7" s="65" t="s">
        <v>235</v>
      </c>
      <c r="H7" s="56"/>
      <c r="I7" s="50"/>
      <c r="J7" t="s">
        <v>239</v>
      </c>
      <c r="K7" s="108">
        <v>388</v>
      </c>
      <c r="L7" s="108">
        <v>395</v>
      </c>
      <c r="M7">
        <f t="shared" ref="M7:M10" si="1">L7-K7</f>
        <v>7</v>
      </c>
      <c r="N7" s="36">
        <f>'so nguoi'!J8+'so nguoi'!J9+'so nguoi'!J10+'so nguoi'!J16+'so nguoi'!J17+'so nguoi'!J18</f>
        <v>18</v>
      </c>
      <c r="O7">
        <f t="shared" si="0"/>
        <v>0.3888888888888889</v>
      </c>
    </row>
    <row r="8" spans="1:15" ht="34.5" customHeight="1" x14ac:dyDescent="0.25">
      <c r="A8" s="13" t="s">
        <v>0</v>
      </c>
      <c r="B8" s="14" t="s">
        <v>10</v>
      </c>
      <c r="C8" s="14" t="s">
        <v>9</v>
      </c>
      <c r="D8" s="15" t="s">
        <v>1</v>
      </c>
      <c r="E8" s="14" t="s">
        <v>2</v>
      </c>
      <c r="F8" s="16" t="s">
        <v>3</v>
      </c>
      <c r="G8" s="14" t="s">
        <v>4</v>
      </c>
      <c r="H8" s="68" t="s">
        <v>16</v>
      </c>
      <c r="J8" t="s">
        <v>240</v>
      </c>
      <c r="K8" s="108">
        <v>499</v>
      </c>
      <c r="L8" s="108">
        <v>502</v>
      </c>
      <c r="M8">
        <f t="shared" si="1"/>
        <v>3</v>
      </c>
      <c r="N8">
        <f>'so nguoi'!J11+'so nguoi'!J12+'so nguoi'!J13+'so nguoi'!J14+'so nguoi'!J15</f>
        <v>9</v>
      </c>
      <c r="O8">
        <f>M8/N8</f>
        <v>0.33333333333333331</v>
      </c>
    </row>
    <row r="9" spans="1:15" s="2" customFormat="1" ht="24.75" customHeight="1" x14ac:dyDescent="0.3">
      <c r="A9" s="84" t="s">
        <v>24</v>
      </c>
      <c r="B9" s="84"/>
      <c r="C9" s="84"/>
      <c r="D9" s="84"/>
      <c r="E9" s="133"/>
      <c r="F9" s="134"/>
      <c r="G9" s="135"/>
      <c r="H9" s="198">
        <f>ROUND(SUM(G10:G12),-3)</f>
        <v>365000</v>
      </c>
      <c r="I9" s="18"/>
      <c r="J9" s="2" t="s">
        <v>35</v>
      </c>
      <c r="K9" s="166">
        <v>1291</v>
      </c>
      <c r="L9" s="166">
        <v>1291</v>
      </c>
      <c r="M9" s="2">
        <f>L9-K9</f>
        <v>0</v>
      </c>
      <c r="N9" s="2">
        <f>'so nguoi'!L8+'so nguoi'!L9+'so nguoi'!L10+'so nguoi'!L11+'so nguoi'!L12+'so nguoi'!L13+'so nguoi'!L14</f>
        <v>0</v>
      </c>
      <c r="O9" s="2">
        <f>0</f>
        <v>0</v>
      </c>
    </row>
    <row r="10" spans="1:15" ht="16.5" customHeight="1" x14ac:dyDescent="0.25">
      <c r="A10" s="112" t="s">
        <v>5</v>
      </c>
      <c r="B10" s="162">
        <v>7150</v>
      </c>
      <c r="C10" s="162">
        <v>7196</v>
      </c>
      <c r="D10" s="207">
        <f>VLOOKUP(RIGHT(LEFT(A9,11),4),'so nguoi'!$G$8:$N$21,2,0)</f>
        <v>4</v>
      </c>
      <c r="E10" s="25">
        <f>C10-B10</f>
        <v>46</v>
      </c>
      <c r="F10" s="26">
        <f>E10</f>
        <v>46</v>
      </c>
      <c r="G10" s="70">
        <f>ROUND(F10*$L$2,-3)</f>
        <v>133000</v>
      </c>
      <c r="H10" s="199"/>
      <c r="J10" t="s">
        <v>36</v>
      </c>
      <c r="K10" s="108">
        <v>845</v>
      </c>
      <c r="L10" s="108">
        <v>845</v>
      </c>
      <c r="M10">
        <f t="shared" si="1"/>
        <v>0</v>
      </c>
      <c r="N10">
        <v>0</v>
      </c>
      <c r="O10" t="e">
        <f t="shared" si="0"/>
        <v>#DIV/0!</v>
      </c>
    </row>
    <row r="11" spans="1:15" ht="16.5" customHeight="1" x14ac:dyDescent="0.25">
      <c r="A11" s="110" t="s">
        <v>22</v>
      </c>
      <c r="B11" s="110">
        <v>486</v>
      </c>
      <c r="C11" s="110">
        <v>497</v>
      </c>
      <c r="D11" s="208"/>
      <c r="E11" s="111">
        <f>C11-B11</f>
        <v>11</v>
      </c>
      <c r="F11" s="22">
        <f>E11</f>
        <v>11</v>
      </c>
      <c r="G11" s="69">
        <f>ROUND(F11*$L$3,-3)</f>
        <v>198000</v>
      </c>
      <c r="H11" s="199"/>
    </row>
    <row r="12" spans="1:15" ht="16.5" customHeight="1" x14ac:dyDescent="0.25">
      <c r="A12" s="110" t="s">
        <v>23</v>
      </c>
      <c r="B12" s="110">
        <v>915</v>
      </c>
      <c r="C12" s="110">
        <v>931</v>
      </c>
      <c r="D12" s="209"/>
      <c r="E12" s="111">
        <f>C12-B12</f>
        <v>16</v>
      </c>
      <c r="F12" s="22">
        <f>$O$5*D10</f>
        <v>1.9130434782608696</v>
      </c>
      <c r="G12" s="69">
        <f>ROUND(F12*$L$3,-3)</f>
        <v>34000</v>
      </c>
      <c r="H12" s="200"/>
      <c r="I12" s="48"/>
      <c r="J12" s="17"/>
    </row>
    <row r="13" spans="1:15" s="2" customFormat="1" ht="24.75" customHeight="1" x14ac:dyDescent="0.3">
      <c r="A13" s="84" t="s">
        <v>25</v>
      </c>
      <c r="B13" s="84"/>
      <c r="C13" s="84"/>
      <c r="D13" s="84"/>
      <c r="E13" s="133"/>
      <c r="F13" s="134"/>
      <c r="G13" s="141"/>
      <c r="H13" s="198">
        <f t="shared" ref="H13" si="2">ROUND(SUM(G14:G16),-3)</f>
        <v>212000</v>
      </c>
      <c r="I13" s="18"/>
    </row>
    <row r="14" spans="1:15" ht="16.5" customHeight="1" x14ac:dyDescent="0.25">
      <c r="A14" s="112" t="s">
        <v>5</v>
      </c>
      <c r="B14" s="112">
        <v>6870</v>
      </c>
      <c r="C14" s="112">
        <v>6903</v>
      </c>
      <c r="D14" s="207">
        <f>VLOOKUP(RIGHT(LEFT(A13,11),4),'so nguoi'!$G$8:$H$18,2,0)</f>
        <v>3</v>
      </c>
      <c r="E14" s="25">
        <f>C14-B14</f>
        <v>33</v>
      </c>
      <c r="F14" s="26">
        <f>E14</f>
        <v>33</v>
      </c>
      <c r="G14" s="70">
        <f>ROUND(F14*$L$2,-3)</f>
        <v>96000</v>
      </c>
      <c r="H14" s="199"/>
    </row>
    <row r="15" spans="1:15" ht="16.5" customHeight="1" x14ac:dyDescent="0.25">
      <c r="A15" s="110" t="s">
        <v>22</v>
      </c>
      <c r="B15" s="110">
        <v>364</v>
      </c>
      <c r="C15" s="110">
        <v>369</v>
      </c>
      <c r="D15" s="208"/>
      <c r="E15" s="111">
        <f>C15-B15</f>
        <v>5</v>
      </c>
      <c r="F15" s="22">
        <f>E15</f>
        <v>5</v>
      </c>
      <c r="G15" s="69">
        <f>ROUND(F15*$L$3,-3)</f>
        <v>90000</v>
      </c>
      <c r="H15" s="199"/>
    </row>
    <row r="16" spans="1:15" ht="16.5" customHeight="1" x14ac:dyDescent="0.25">
      <c r="A16" s="110" t="s">
        <v>23</v>
      </c>
      <c r="B16" s="110">
        <f>B12</f>
        <v>915</v>
      </c>
      <c r="C16" s="110">
        <f>C12</f>
        <v>931</v>
      </c>
      <c r="D16" s="209"/>
      <c r="E16" s="111">
        <f>C16-B16</f>
        <v>16</v>
      </c>
      <c r="F16" s="22">
        <f>$O$5*D14</f>
        <v>1.4347826086956523</v>
      </c>
      <c r="G16" s="69">
        <f>ROUND(F16*$L$3,-3)</f>
        <v>26000</v>
      </c>
      <c r="H16" s="200"/>
      <c r="J16" s="62"/>
    </row>
    <row r="17" spans="1:9" s="2" customFormat="1" ht="24.4" customHeight="1" x14ac:dyDescent="0.3">
      <c r="A17" s="84" t="s">
        <v>205</v>
      </c>
      <c r="B17" s="84"/>
      <c r="C17" s="84"/>
      <c r="D17" s="84"/>
      <c r="E17" s="133"/>
      <c r="F17" s="134"/>
      <c r="G17" s="135"/>
      <c r="H17" s="198">
        <f t="shared" ref="H17" si="3">ROUND(SUM(G18:G20),-3)</f>
        <v>344000</v>
      </c>
      <c r="I17" s="18"/>
    </row>
    <row r="18" spans="1:9" ht="16.5" customHeight="1" x14ac:dyDescent="0.25">
      <c r="A18" s="112" t="s">
        <v>5</v>
      </c>
      <c r="B18" s="112">
        <v>18042</v>
      </c>
      <c r="C18" s="112">
        <v>18115</v>
      </c>
      <c r="D18" s="207">
        <f>VLOOKUP(RIGHT(LEFT(A17,11),4),'so nguoi'!$G$8:$N$21,2,0)</f>
        <v>7</v>
      </c>
      <c r="E18" s="25">
        <f>C18-B18</f>
        <v>73</v>
      </c>
      <c r="F18" s="26">
        <f>E18</f>
        <v>73</v>
      </c>
      <c r="G18" s="70">
        <f>ROUND(F18*$L$2,-3)</f>
        <v>212000</v>
      </c>
      <c r="H18" s="199"/>
    </row>
    <row r="19" spans="1:9" ht="16.5" customHeight="1" x14ac:dyDescent="0.25">
      <c r="A19" s="110" t="s">
        <v>22</v>
      </c>
      <c r="B19" s="110">
        <v>516</v>
      </c>
      <c r="C19" s="110">
        <v>520</v>
      </c>
      <c r="D19" s="208"/>
      <c r="E19" s="111">
        <f>C19-B19</f>
        <v>4</v>
      </c>
      <c r="F19" s="22">
        <f>E19</f>
        <v>4</v>
      </c>
      <c r="G19" s="69">
        <f>ROUND(F19*$L$3,-3)</f>
        <v>72000</v>
      </c>
      <c r="H19" s="199"/>
    </row>
    <row r="20" spans="1:9" ht="16.5" customHeight="1" x14ac:dyDescent="0.25">
      <c r="A20" s="110" t="s">
        <v>23</v>
      </c>
      <c r="B20" s="110">
        <f>B12</f>
        <v>915</v>
      </c>
      <c r="C20" s="110">
        <f>C12</f>
        <v>931</v>
      </c>
      <c r="D20" s="209"/>
      <c r="E20" s="111">
        <f>C20-B20</f>
        <v>16</v>
      </c>
      <c r="F20" s="22">
        <f>$O$5*D18</f>
        <v>3.347826086956522</v>
      </c>
      <c r="G20" s="69">
        <f>ROUND(F20*$L$3,-3)</f>
        <v>60000</v>
      </c>
      <c r="H20" s="200"/>
    </row>
    <row r="21" spans="1:9" s="2" customFormat="1" ht="24.4" customHeight="1" x14ac:dyDescent="0.3">
      <c r="A21" s="84" t="s">
        <v>206</v>
      </c>
      <c r="B21" s="84"/>
      <c r="C21" s="84"/>
      <c r="D21" s="84"/>
      <c r="E21" s="133"/>
      <c r="F21" s="134"/>
      <c r="G21" s="135"/>
      <c r="H21" s="198">
        <f t="shared" ref="H21" si="4">ROUND(SUM(G22:G24),-3)</f>
        <v>0</v>
      </c>
      <c r="I21" s="18">
        <f>F21*12000</f>
        <v>0</v>
      </c>
    </row>
    <row r="22" spans="1:9" ht="16.5" customHeight="1" x14ac:dyDescent="0.25">
      <c r="A22" s="110" t="s">
        <v>5</v>
      </c>
      <c r="B22" s="110">
        <v>5618</v>
      </c>
      <c r="C22" s="110">
        <v>5618</v>
      </c>
      <c r="D22" s="204">
        <f>VLOOKUP(RIGHT(LEFT(A21,11),4),'so nguoi'!$G$8:$N$21,2,0)</f>
        <v>0</v>
      </c>
      <c r="E22" s="25">
        <f>C22-B22</f>
        <v>0</v>
      </c>
      <c r="F22" s="26">
        <f>E22</f>
        <v>0</v>
      </c>
      <c r="G22" s="70">
        <f>ROUND(F22*$L$2,-3)</f>
        <v>0</v>
      </c>
      <c r="H22" s="199"/>
    </row>
    <row r="23" spans="1:9" ht="16.5" customHeight="1" x14ac:dyDescent="0.25">
      <c r="A23" s="110" t="s">
        <v>22</v>
      </c>
      <c r="B23" s="110">
        <v>272</v>
      </c>
      <c r="C23" s="110">
        <v>272</v>
      </c>
      <c r="D23" s="205"/>
      <c r="E23" s="111">
        <f>C23-B23</f>
        <v>0</v>
      </c>
      <c r="F23" s="22">
        <f>E23</f>
        <v>0</v>
      </c>
      <c r="G23" s="69">
        <f>ROUND(F23*$L$3,-3)</f>
        <v>0</v>
      </c>
      <c r="H23" s="199"/>
    </row>
    <row r="24" spans="1:9" ht="16.5" customHeight="1" x14ac:dyDescent="0.25">
      <c r="A24" s="110" t="s">
        <v>23</v>
      </c>
      <c r="B24" s="110">
        <v>509</v>
      </c>
      <c r="C24" s="110">
        <v>524</v>
      </c>
      <c r="D24" s="206"/>
      <c r="E24" s="111">
        <f>C24-B24</f>
        <v>15</v>
      </c>
      <c r="F24" s="22">
        <f>$O$6*D22</f>
        <v>0</v>
      </c>
      <c r="G24" s="69">
        <f>ROUND(F24*$L$3,-3)</f>
        <v>0</v>
      </c>
      <c r="H24" s="200"/>
    </row>
    <row r="25" spans="1:9" s="2" customFormat="1" ht="24.4" customHeight="1" x14ac:dyDescent="0.3">
      <c r="A25" s="84" t="s">
        <v>26</v>
      </c>
      <c r="B25" s="84"/>
      <c r="C25" s="84"/>
      <c r="D25" s="84"/>
      <c r="E25" s="133"/>
      <c r="F25" s="134"/>
      <c r="G25" s="135"/>
      <c r="H25" s="198">
        <f t="shared" ref="H25" si="5">ROUND(SUM(G26:G28),-3)</f>
        <v>562000</v>
      </c>
      <c r="I25" s="18">
        <f>F25*12000</f>
        <v>0</v>
      </c>
    </row>
    <row r="26" spans="1:9" ht="16.5" customHeight="1" x14ac:dyDescent="0.25">
      <c r="A26" s="112" t="s">
        <v>5</v>
      </c>
      <c r="B26" s="112">
        <v>7525</v>
      </c>
      <c r="C26" s="112">
        <v>7661</v>
      </c>
      <c r="D26" s="207">
        <f>VLOOKUP(RIGHT(LEFT(A25,11),4),'so nguoi'!$G$8:$N$21,2,0)</f>
        <v>7</v>
      </c>
      <c r="E26" s="25">
        <f>C26-B26</f>
        <v>136</v>
      </c>
      <c r="F26" s="26">
        <f>E26</f>
        <v>136</v>
      </c>
      <c r="G26" s="70">
        <f>ROUND(F26*$L$2,-3)</f>
        <v>394000</v>
      </c>
      <c r="H26" s="199"/>
    </row>
    <row r="27" spans="1:9" ht="16.5" customHeight="1" x14ac:dyDescent="0.25">
      <c r="A27" s="110" t="s">
        <v>22</v>
      </c>
      <c r="B27" s="110">
        <v>258</v>
      </c>
      <c r="C27" s="110">
        <v>264</v>
      </c>
      <c r="D27" s="208"/>
      <c r="E27" s="111">
        <f>C27-B27</f>
        <v>6</v>
      </c>
      <c r="F27" s="22">
        <f>E27</f>
        <v>6</v>
      </c>
      <c r="G27" s="69">
        <f>ROUND(F27*$L$3,-3)</f>
        <v>108000</v>
      </c>
      <c r="H27" s="199"/>
    </row>
    <row r="28" spans="1:9" ht="21.75" customHeight="1" x14ac:dyDescent="0.25">
      <c r="A28" s="110" t="s">
        <v>23</v>
      </c>
      <c r="B28" s="110">
        <f>B24</f>
        <v>509</v>
      </c>
      <c r="C28" s="110">
        <f>C24</f>
        <v>524</v>
      </c>
      <c r="D28" s="209"/>
      <c r="E28" s="111">
        <f>C28-B28</f>
        <v>15</v>
      </c>
      <c r="F28" s="22">
        <f>$O$6*D26</f>
        <v>3.347826086956522</v>
      </c>
      <c r="G28" s="69">
        <f>ROUND(F28*$L$3,-3)</f>
        <v>60000</v>
      </c>
      <c r="H28" s="200"/>
    </row>
    <row r="29" spans="1:9" s="2" customFormat="1" ht="24.75" customHeight="1" x14ac:dyDescent="0.25">
      <c r="A29" s="136" t="s">
        <v>27</v>
      </c>
      <c r="B29" s="136"/>
      <c r="C29" s="136"/>
      <c r="D29" s="136"/>
      <c r="E29" s="137"/>
      <c r="F29" s="138"/>
      <c r="G29" s="139"/>
      <c r="H29" s="198">
        <f t="shared" ref="H29" si="6">ROUND(SUM(G30:G32),-3)</f>
        <v>471000</v>
      </c>
      <c r="I29" s="17">
        <f>F29*12000</f>
        <v>0</v>
      </c>
    </row>
    <row r="30" spans="1:9" ht="16.5" customHeight="1" x14ac:dyDescent="0.25">
      <c r="A30" s="112" t="s">
        <v>5</v>
      </c>
      <c r="B30" s="112">
        <v>17026</v>
      </c>
      <c r="C30" s="112">
        <v>17124</v>
      </c>
      <c r="D30" s="207">
        <f>VLOOKUP(RIGHT(LEFT(A29,11),4),'so nguoi'!$G$8:$N$21,2,0)</f>
        <v>5</v>
      </c>
      <c r="E30" s="25">
        <f>C30-B30</f>
        <v>98</v>
      </c>
      <c r="F30" s="26">
        <f>E30</f>
        <v>98</v>
      </c>
      <c r="G30" s="70">
        <f>ROUND(F30*$L$2,-3)</f>
        <v>284000</v>
      </c>
      <c r="H30" s="199"/>
    </row>
    <row r="31" spans="1:9" ht="16.5" customHeight="1" x14ac:dyDescent="0.25">
      <c r="A31" s="110" t="s">
        <v>22</v>
      </c>
      <c r="B31" s="110">
        <v>103</v>
      </c>
      <c r="C31" s="110">
        <v>111</v>
      </c>
      <c r="D31" s="208"/>
      <c r="E31" s="111">
        <f>C31-B31</f>
        <v>8</v>
      </c>
      <c r="F31" s="22">
        <f>E31</f>
        <v>8</v>
      </c>
      <c r="G31" s="69">
        <f>ROUND(F31*$L$3,-3)</f>
        <v>144000</v>
      </c>
      <c r="H31" s="199"/>
    </row>
    <row r="32" spans="1:9" ht="16.5" customHeight="1" x14ac:dyDescent="0.25">
      <c r="A32" s="110" t="s">
        <v>23</v>
      </c>
      <c r="B32" s="110">
        <f>B28</f>
        <v>509</v>
      </c>
      <c r="C32" s="110">
        <f>C28</f>
        <v>524</v>
      </c>
      <c r="D32" s="209"/>
      <c r="E32" s="111">
        <f>C32-B32</f>
        <v>15</v>
      </c>
      <c r="F32" s="22">
        <f>$O$6*D30</f>
        <v>2.3913043478260869</v>
      </c>
      <c r="G32" s="69">
        <f>ROUND(F32*$L$3,-3)</f>
        <v>43000</v>
      </c>
      <c r="H32" s="200"/>
    </row>
    <row r="33" spans="1:9" s="109" customFormat="1" ht="24.75" customHeight="1" x14ac:dyDescent="0.25">
      <c r="A33" s="136" t="s">
        <v>207</v>
      </c>
      <c r="B33" s="136"/>
      <c r="C33" s="136"/>
      <c r="D33" s="136"/>
      <c r="E33" s="137"/>
      <c r="F33" s="138"/>
      <c r="G33" s="139"/>
      <c r="H33" s="198">
        <f t="shared" ref="H33" si="7">ROUND(SUM(G34:G36),-3)</f>
        <v>96000</v>
      </c>
      <c r="I33" s="17">
        <f>F33*12000</f>
        <v>0</v>
      </c>
    </row>
    <row r="34" spans="1:9" s="108" customFormat="1" ht="16.5" customHeight="1" x14ac:dyDescent="0.25">
      <c r="A34" s="112" t="s">
        <v>5</v>
      </c>
      <c r="B34" s="112">
        <v>6943</v>
      </c>
      <c r="C34" s="112">
        <v>6949</v>
      </c>
      <c r="D34" s="204">
        <f>VLOOKUP(RIGHT(LEFT(A33,11),4),'so nguoi'!$G$8:$N$21,2,0)</f>
        <v>5</v>
      </c>
      <c r="E34" s="25">
        <f>C34-B34</f>
        <v>6</v>
      </c>
      <c r="F34" s="26">
        <f>E34</f>
        <v>6</v>
      </c>
      <c r="G34" s="70">
        <f>ROUND(F34*$L$2,-3)</f>
        <v>17000</v>
      </c>
      <c r="H34" s="199"/>
      <c r="I34" s="17"/>
    </row>
    <row r="35" spans="1:9" s="108" customFormat="1" ht="16.5" customHeight="1" x14ac:dyDescent="0.25">
      <c r="A35" s="110" t="s">
        <v>22</v>
      </c>
      <c r="B35" s="110">
        <v>264</v>
      </c>
      <c r="C35" s="110">
        <v>266</v>
      </c>
      <c r="D35" s="205"/>
      <c r="E35" s="111">
        <f>C35-B35</f>
        <v>2</v>
      </c>
      <c r="F35" s="22">
        <f>E35</f>
        <v>2</v>
      </c>
      <c r="G35" s="69">
        <f>ROUND(F35*$L$3,-3)</f>
        <v>36000</v>
      </c>
      <c r="H35" s="199"/>
      <c r="I35" s="17"/>
    </row>
    <row r="36" spans="1:9" s="108" customFormat="1" ht="16.5" customHeight="1" x14ac:dyDescent="0.25">
      <c r="A36" s="110" t="s">
        <v>23</v>
      </c>
      <c r="B36" s="110">
        <f>B32</f>
        <v>509</v>
      </c>
      <c r="C36" s="110">
        <f>C32</f>
        <v>524</v>
      </c>
      <c r="D36" s="206"/>
      <c r="E36" s="111">
        <f>C36-B36</f>
        <v>15</v>
      </c>
      <c r="F36" s="22">
        <f>$O$6*D34</f>
        <v>2.3913043478260869</v>
      </c>
      <c r="G36" s="69">
        <f>ROUND(F36*$L$3,-3)</f>
        <v>43000</v>
      </c>
      <c r="H36" s="200"/>
      <c r="I36" s="17"/>
    </row>
    <row r="37" spans="1:9" s="109" customFormat="1" ht="24.75" customHeight="1" x14ac:dyDescent="0.25">
      <c r="A37" s="136" t="s">
        <v>208</v>
      </c>
      <c r="B37" s="136"/>
      <c r="C37" s="136"/>
      <c r="D37" s="136"/>
      <c r="E37" s="137"/>
      <c r="F37" s="138"/>
      <c r="G37" s="139"/>
      <c r="H37" s="198">
        <f t="shared" ref="H37" si="8">ROUND(SUM(G38:G40),-3)</f>
        <v>514000</v>
      </c>
      <c r="I37" s="17">
        <f>F37*12000</f>
        <v>0</v>
      </c>
    </row>
    <row r="38" spans="1:9" s="108" customFormat="1" ht="16.5" customHeight="1" x14ac:dyDescent="0.25">
      <c r="A38" s="112" t="s">
        <v>5</v>
      </c>
      <c r="B38" s="112">
        <v>16210</v>
      </c>
      <c r="C38" s="112">
        <v>16332</v>
      </c>
      <c r="D38" s="207">
        <f>VLOOKUP(RIGHT(LEFT(A37,11),4),'so nguoi'!$G$8:$N$21,2,0)</f>
        <v>6</v>
      </c>
      <c r="E38" s="25">
        <f>C38-B38</f>
        <v>122</v>
      </c>
      <c r="F38" s="26">
        <f>E38</f>
        <v>122</v>
      </c>
      <c r="G38" s="70">
        <f>ROUND(F38*$L$2,-3)</f>
        <v>354000</v>
      </c>
      <c r="H38" s="199"/>
      <c r="I38" s="17"/>
    </row>
    <row r="39" spans="1:9" s="108" customFormat="1" ht="16.5" customHeight="1" x14ac:dyDescent="0.25">
      <c r="A39" s="110" t="s">
        <v>22</v>
      </c>
      <c r="B39" s="110">
        <v>227</v>
      </c>
      <c r="C39" s="110">
        <v>233</v>
      </c>
      <c r="D39" s="208"/>
      <c r="E39" s="111">
        <f>C39-B39</f>
        <v>6</v>
      </c>
      <c r="F39" s="22">
        <f>E39</f>
        <v>6</v>
      </c>
      <c r="G39" s="69">
        <f>ROUND(F39*$L$3,-3)</f>
        <v>108000</v>
      </c>
      <c r="H39" s="199"/>
      <c r="I39" s="17"/>
    </row>
    <row r="40" spans="1:9" s="108" customFormat="1" ht="16.5" customHeight="1" x14ac:dyDescent="0.25">
      <c r="A40" s="110" t="s">
        <v>23</v>
      </c>
      <c r="B40" s="110">
        <f>B36</f>
        <v>509</v>
      </c>
      <c r="C40" s="110">
        <f>C36</f>
        <v>524</v>
      </c>
      <c r="D40" s="209"/>
      <c r="E40" s="111">
        <f>C40-B40</f>
        <v>15</v>
      </c>
      <c r="F40" s="22">
        <f>$O$6*D38</f>
        <v>2.8695652173913047</v>
      </c>
      <c r="G40" s="69">
        <f>ROUND(F40*$L$3,-3)</f>
        <v>52000</v>
      </c>
      <c r="H40" s="200"/>
      <c r="I40" s="17"/>
    </row>
    <row r="41" spans="1:9" s="109" customFormat="1" ht="24.75" customHeight="1" x14ac:dyDescent="0.25">
      <c r="A41" s="136" t="s">
        <v>209</v>
      </c>
      <c r="B41" s="136"/>
      <c r="C41" s="136"/>
      <c r="D41" s="136"/>
      <c r="E41" s="137"/>
      <c r="F41" s="138"/>
      <c r="G41" s="139"/>
      <c r="H41" s="198">
        <f t="shared" ref="H41" si="9">ROUND(SUM(G42:G44),-3)</f>
        <v>227000</v>
      </c>
      <c r="I41" s="17">
        <f>F41*12000</f>
        <v>0</v>
      </c>
    </row>
    <row r="42" spans="1:9" s="108" customFormat="1" ht="16.5" customHeight="1" x14ac:dyDescent="0.25">
      <c r="A42" s="112" t="s">
        <v>5</v>
      </c>
      <c r="B42" s="112">
        <v>11605</v>
      </c>
      <c r="C42" s="112">
        <v>11653</v>
      </c>
      <c r="D42" s="204">
        <f>VLOOKUP(RIGHT(LEFT(A41,11),4),'so nguoi'!$G$8:$N$21,2,0)</f>
        <v>6</v>
      </c>
      <c r="E42" s="25">
        <f>C42-B42</f>
        <v>48</v>
      </c>
      <c r="F42" s="26">
        <f>E42</f>
        <v>48</v>
      </c>
      <c r="G42" s="70">
        <f>ROUND(F42*$L$2,-3)</f>
        <v>139000</v>
      </c>
      <c r="H42" s="199"/>
      <c r="I42" s="17"/>
    </row>
    <row r="43" spans="1:9" s="108" customFormat="1" ht="16.5" customHeight="1" x14ac:dyDescent="0.25">
      <c r="A43" s="110" t="s">
        <v>22</v>
      </c>
      <c r="B43" s="110">
        <v>272</v>
      </c>
      <c r="C43" s="110">
        <v>274</v>
      </c>
      <c r="D43" s="205"/>
      <c r="E43" s="111">
        <f>C43-B43</f>
        <v>2</v>
      </c>
      <c r="F43" s="22">
        <f>E43</f>
        <v>2</v>
      </c>
      <c r="G43" s="69">
        <f>ROUND(F43*$L$3,-3)</f>
        <v>36000</v>
      </c>
      <c r="H43" s="199"/>
      <c r="I43" s="17"/>
    </row>
    <row r="44" spans="1:9" s="108" customFormat="1" ht="16.5" customHeight="1" x14ac:dyDescent="0.25">
      <c r="A44" s="110" t="s">
        <v>23</v>
      </c>
      <c r="B44" s="110">
        <f>B20</f>
        <v>915</v>
      </c>
      <c r="C44" s="110">
        <f>C20</f>
        <v>931</v>
      </c>
      <c r="D44" s="206"/>
      <c r="E44" s="111">
        <f>C44-B44</f>
        <v>16</v>
      </c>
      <c r="F44" s="165">
        <f>$O$5*D42</f>
        <v>2.8695652173913047</v>
      </c>
      <c r="G44" s="69">
        <f>ROUND(F44*$L$3,-3)</f>
        <v>52000</v>
      </c>
      <c r="H44" s="200"/>
      <c r="I44" s="17"/>
    </row>
    <row r="45" spans="1:9" s="109" customFormat="1" ht="24.75" customHeight="1" x14ac:dyDescent="0.25">
      <c r="A45" s="136" t="s">
        <v>210</v>
      </c>
      <c r="B45" s="136"/>
      <c r="C45" s="136"/>
      <c r="D45" s="136"/>
      <c r="E45" s="137"/>
      <c r="F45" s="138"/>
      <c r="G45" s="139"/>
      <c r="H45" s="198">
        <f t="shared" ref="H45" si="10">ROUND(SUM(G46:G48),-3)</f>
        <v>200000</v>
      </c>
      <c r="I45" s="17">
        <f>F45*12000</f>
        <v>0</v>
      </c>
    </row>
    <row r="46" spans="1:9" s="108" customFormat="1" ht="16.5" customHeight="1" x14ac:dyDescent="0.25">
      <c r="A46" s="112" t="s">
        <v>5</v>
      </c>
      <c r="B46" s="112">
        <v>5569</v>
      </c>
      <c r="C46" s="112">
        <v>5604</v>
      </c>
      <c r="D46" s="207">
        <f>VLOOKUP(RIGHT(LEFT(A45,11),4),'so nguoi'!$G$8:$N$21,2,0)</f>
        <v>3</v>
      </c>
      <c r="E46" s="25">
        <f>C46-B46</f>
        <v>35</v>
      </c>
      <c r="F46" s="26">
        <f>E46</f>
        <v>35</v>
      </c>
      <c r="G46" s="70">
        <f>ROUND(F46*$L$2,-3)</f>
        <v>102000</v>
      </c>
      <c r="H46" s="199"/>
      <c r="I46" s="17"/>
    </row>
    <row r="47" spans="1:9" s="108" customFormat="1" ht="16.5" customHeight="1" x14ac:dyDescent="0.25">
      <c r="A47" s="110" t="s">
        <v>22</v>
      </c>
      <c r="B47" s="110">
        <v>382</v>
      </c>
      <c r="C47" s="110">
        <v>386</v>
      </c>
      <c r="D47" s="208"/>
      <c r="E47" s="111">
        <f>C47-B47</f>
        <v>4</v>
      </c>
      <c r="F47" s="22">
        <f>E47</f>
        <v>4</v>
      </c>
      <c r="G47" s="69">
        <f>ROUND(F47*$L$3,-3)</f>
        <v>72000</v>
      </c>
      <c r="H47" s="199"/>
      <c r="I47" s="17"/>
    </row>
    <row r="48" spans="1:9" s="108" customFormat="1" ht="16.5" customHeight="1" x14ac:dyDescent="0.25">
      <c r="A48" s="110" t="s">
        <v>23</v>
      </c>
      <c r="B48" s="110">
        <f>B12</f>
        <v>915</v>
      </c>
      <c r="C48" s="110">
        <f>C12</f>
        <v>931</v>
      </c>
      <c r="D48" s="209"/>
      <c r="E48" s="111">
        <f>C48-B48</f>
        <v>16</v>
      </c>
      <c r="F48" s="22">
        <f>$O$5*D46</f>
        <v>1.4347826086956523</v>
      </c>
      <c r="G48" s="69">
        <f>ROUND(F48*$L$3,-3)</f>
        <v>26000</v>
      </c>
      <c r="H48" s="200"/>
      <c r="I48" s="17"/>
    </row>
    <row r="49" spans="1:9" s="109" customFormat="1" ht="24.75" customHeight="1" x14ac:dyDescent="0.25">
      <c r="A49" s="136" t="s">
        <v>211</v>
      </c>
      <c r="B49" s="136"/>
      <c r="C49" s="136"/>
      <c r="D49" s="136"/>
      <c r="E49" s="137"/>
      <c r="F49" s="138"/>
      <c r="G49" s="139"/>
      <c r="H49" s="198">
        <f t="shared" ref="H49" si="11">ROUND(SUM(G50:G52),-3)</f>
        <v>0</v>
      </c>
      <c r="I49" s="17">
        <f>F49*12000</f>
        <v>0</v>
      </c>
    </row>
    <row r="50" spans="1:9" s="108" customFormat="1" ht="16.5" customHeight="1" x14ac:dyDescent="0.25">
      <c r="A50" s="112" t="s">
        <v>5</v>
      </c>
      <c r="B50" s="112">
        <v>8243</v>
      </c>
      <c r="C50" s="112">
        <v>8243</v>
      </c>
      <c r="D50" s="204">
        <f>VLOOKUP(RIGHT(LEFT(A49,11),4),'so nguoi'!$G$8:$N$21,2,0)</f>
        <v>0</v>
      </c>
      <c r="E50" s="25">
        <f>C50-B50</f>
        <v>0</v>
      </c>
      <c r="F50" s="26">
        <f>E50</f>
        <v>0</v>
      </c>
      <c r="G50" s="70">
        <f>ROUND(F50*$L$2,-3)</f>
        <v>0</v>
      </c>
      <c r="H50" s="199"/>
      <c r="I50" s="17"/>
    </row>
    <row r="51" spans="1:9" s="108" customFormat="1" ht="16.5" customHeight="1" x14ac:dyDescent="0.25">
      <c r="A51" s="110" t="s">
        <v>22</v>
      </c>
      <c r="B51" s="110">
        <v>363</v>
      </c>
      <c r="C51" s="110">
        <v>363</v>
      </c>
      <c r="D51" s="205"/>
      <c r="E51" s="111">
        <f>C51-B51</f>
        <v>0</v>
      </c>
      <c r="F51" s="22">
        <f>E51</f>
        <v>0</v>
      </c>
      <c r="G51" s="69">
        <f>ROUND(F51*$L$3,-3)</f>
        <v>0</v>
      </c>
      <c r="H51" s="199"/>
      <c r="I51" s="17"/>
    </row>
    <row r="52" spans="1:9" s="108" customFormat="1" ht="16.5" customHeight="1" x14ac:dyDescent="0.25">
      <c r="A52" s="110" t="s">
        <v>23</v>
      </c>
      <c r="B52" s="110">
        <f>B48</f>
        <v>915</v>
      </c>
      <c r="C52" s="110">
        <f>C48</f>
        <v>931</v>
      </c>
      <c r="D52" s="206"/>
      <c r="E52" s="111">
        <f>C52-B52</f>
        <v>16</v>
      </c>
      <c r="F52" s="22">
        <f>$O$5*D50</f>
        <v>0</v>
      </c>
      <c r="G52" s="69">
        <f>ROUND(F52*$L$3,-3)</f>
        <v>0</v>
      </c>
      <c r="H52" s="200"/>
      <c r="I52" s="17"/>
    </row>
    <row r="53" spans="1:9" s="109" customFormat="1" ht="24.75" customHeight="1" x14ac:dyDescent="0.25">
      <c r="A53" s="136" t="s">
        <v>212</v>
      </c>
      <c r="B53" s="136"/>
      <c r="C53" s="136"/>
      <c r="D53" s="136"/>
      <c r="E53" s="137"/>
      <c r="F53" s="138"/>
      <c r="G53" s="139"/>
      <c r="H53" s="198">
        <f t="shared" ref="H53" si="12">ROUND(SUM(G54:G56),-3)</f>
        <v>197000</v>
      </c>
      <c r="I53" s="17">
        <f>F53*12000</f>
        <v>0</v>
      </c>
    </row>
    <row r="54" spans="1:9" s="108" customFormat="1" ht="16.5" customHeight="1" x14ac:dyDescent="0.25">
      <c r="A54" s="112" t="s">
        <v>5</v>
      </c>
      <c r="B54" s="131">
        <v>13543</v>
      </c>
      <c r="C54" s="131">
        <v>13564</v>
      </c>
      <c r="D54" s="207">
        <f>VLOOKUP(RIGHT(LEFT(A53,11),4),'so nguoi'!$I$8:$N$21,2,0)</f>
        <v>4</v>
      </c>
      <c r="E54" s="25">
        <f>C54-B54</f>
        <v>21</v>
      </c>
      <c r="F54" s="26">
        <f>E54</f>
        <v>21</v>
      </c>
      <c r="G54" s="70">
        <f>ROUND(F54*$L$2,-3)</f>
        <v>61000</v>
      </c>
      <c r="H54" s="199"/>
      <c r="I54" s="17"/>
    </row>
    <row r="55" spans="1:9" s="108" customFormat="1" ht="16.5" customHeight="1" x14ac:dyDescent="0.25">
      <c r="A55" s="110" t="s">
        <v>22</v>
      </c>
      <c r="B55" s="110">
        <v>177</v>
      </c>
      <c r="C55" s="110">
        <v>183</v>
      </c>
      <c r="D55" s="208"/>
      <c r="E55" s="111">
        <f>C55-B55</f>
        <v>6</v>
      </c>
      <c r="F55" s="22">
        <f>E55</f>
        <v>6</v>
      </c>
      <c r="G55" s="69">
        <f>ROUND(F55*$L$3,-3)</f>
        <v>108000</v>
      </c>
      <c r="H55" s="199"/>
      <c r="I55" s="17"/>
    </row>
    <row r="56" spans="1:9" s="108" customFormat="1" ht="16.5" customHeight="1" x14ac:dyDescent="0.25">
      <c r="A56" s="110" t="s">
        <v>23</v>
      </c>
      <c r="B56" s="110">
        <v>382</v>
      </c>
      <c r="C56" s="110">
        <v>395</v>
      </c>
      <c r="D56" s="209"/>
      <c r="E56" s="111">
        <f>C56-B56</f>
        <v>13</v>
      </c>
      <c r="F56" s="22">
        <f>$O$7*D54</f>
        <v>1.5555555555555556</v>
      </c>
      <c r="G56" s="69">
        <f>ROUND(F56*$L$3,-3)</f>
        <v>28000</v>
      </c>
      <c r="H56" s="200"/>
      <c r="I56" s="17"/>
    </row>
    <row r="57" spans="1:9" s="109" customFormat="1" ht="24.75" customHeight="1" x14ac:dyDescent="0.25">
      <c r="A57" s="136" t="s">
        <v>213</v>
      </c>
      <c r="B57" s="136"/>
      <c r="C57" s="136"/>
      <c r="D57" s="136"/>
      <c r="E57" s="137"/>
      <c r="F57" s="138"/>
      <c r="G57" s="139"/>
      <c r="H57" s="198">
        <f t="shared" ref="H57" si="13">ROUND(SUM(G58:G60),-3)</f>
        <v>503000</v>
      </c>
      <c r="I57" s="17">
        <f>F57*12000</f>
        <v>0</v>
      </c>
    </row>
    <row r="58" spans="1:9" s="108" customFormat="1" ht="16.5" customHeight="1" x14ac:dyDescent="0.25">
      <c r="A58" s="112" t="s">
        <v>5</v>
      </c>
      <c r="B58" s="131">
        <v>15136</v>
      </c>
      <c r="C58" s="131">
        <v>15233</v>
      </c>
      <c r="D58" s="207">
        <f>VLOOKUP(RIGHT(LEFT(A57,11),4),'so nguoi'!$I8:$N$21,2,0)</f>
        <v>6</v>
      </c>
      <c r="E58" s="25">
        <f>C58-B58</f>
        <v>97</v>
      </c>
      <c r="F58" s="26">
        <f>E58</f>
        <v>97</v>
      </c>
      <c r="G58" s="70">
        <f>ROUND(F58*$L$2,-3)</f>
        <v>281000</v>
      </c>
      <c r="H58" s="199"/>
      <c r="I58" s="17"/>
    </row>
    <row r="59" spans="1:9" s="108" customFormat="1" ht="16.5" customHeight="1" x14ac:dyDescent="0.25">
      <c r="A59" s="110" t="s">
        <v>22</v>
      </c>
      <c r="B59" s="110">
        <v>142</v>
      </c>
      <c r="C59" s="110">
        <v>152</v>
      </c>
      <c r="D59" s="208"/>
      <c r="E59" s="111">
        <f>C59-B59</f>
        <v>10</v>
      </c>
      <c r="F59" s="22">
        <f>E59</f>
        <v>10</v>
      </c>
      <c r="G59" s="69">
        <f>ROUND(F59*$L$3,-3)</f>
        <v>180000</v>
      </c>
      <c r="H59" s="199"/>
      <c r="I59" s="17"/>
    </row>
    <row r="60" spans="1:9" s="108" customFormat="1" ht="16.5" customHeight="1" x14ac:dyDescent="0.25">
      <c r="A60" s="110" t="s">
        <v>23</v>
      </c>
      <c r="B60" s="110">
        <f>B56</f>
        <v>382</v>
      </c>
      <c r="C60" s="110">
        <f>C56</f>
        <v>395</v>
      </c>
      <c r="D60" s="209"/>
      <c r="E60" s="111">
        <f>C60-B60</f>
        <v>13</v>
      </c>
      <c r="F60" s="22">
        <f>$O$7*D58</f>
        <v>2.3333333333333335</v>
      </c>
      <c r="G60" s="69">
        <f>ROUND(F60*$L$3,-3)</f>
        <v>42000</v>
      </c>
      <c r="H60" s="200"/>
      <c r="I60" s="17"/>
    </row>
    <row r="61" spans="1:9" s="109" customFormat="1" ht="24.75" customHeight="1" x14ac:dyDescent="0.25">
      <c r="A61" s="136" t="s">
        <v>214</v>
      </c>
      <c r="B61" s="136"/>
      <c r="C61" s="136"/>
      <c r="D61" s="136"/>
      <c r="E61" s="137"/>
      <c r="F61" s="138"/>
      <c r="G61" s="139"/>
      <c r="H61" s="198">
        <f t="shared" ref="H61" si="14">ROUND(SUM(G62:G64),-3)</f>
        <v>609000</v>
      </c>
      <c r="I61" s="17">
        <f>F61*12000</f>
        <v>0</v>
      </c>
    </row>
    <row r="62" spans="1:9" s="108" customFormat="1" ht="16.5" customHeight="1" x14ac:dyDescent="0.25">
      <c r="A62" s="112" t="s">
        <v>5</v>
      </c>
      <c r="B62" s="112">
        <v>19319</v>
      </c>
      <c r="C62" s="112">
        <v>19429</v>
      </c>
      <c r="D62" s="207">
        <f>VLOOKUP(RIGHT(LEFT(A61,11),4),'so nguoi'!$I$8:$N$21,2,0)</f>
        <v>8</v>
      </c>
      <c r="E62" s="25">
        <f>C62-B62</f>
        <v>110</v>
      </c>
      <c r="F62" s="26">
        <f>E62</f>
        <v>110</v>
      </c>
      <c r="G62" s="70">
        <f>ROUND(F62*$L$2,-3)</f>
        <v>319000</v>
      </c>
      <c r="H62" s="199"/>
      <c r="I62" s="17"/>
    </row>
    <row r="63" spans="1:9" s="108" customFormat="1" ht="16.5" customHeight="1" x14ac:dyDescent="0.25">
      <c r="A63" s="110" t="s">
        <v>22</v>
      </c>
      <c r="B63" s="110">
        <v>186</v>
      </c>
      <c r="C63" s="110">
        <v>199</v>
      </c>
      <c r="D63" s="208"/>
      <c r="E63" s="111">
        <f>C63-B63</f>
        <v>13</v>
      </c>
      <c r="F63" s="22">
        <f>E63</f>
        <v>13</v>
      </c>
      <c r="G63" s="69">
        <f>ROUND(F63*$L$3,-3)</f>
        <v>234000</v>
      </c>
      <c r="H63" s="199"/>
      <c r="I63" s="17"/>
    </row>
    <row r="64" spans="1:9" s="108" customFormat="1" ht="16.5" customHeight="1" x14ac:dyDescent="0.25">
      <c r="A64" s="110" t="s">
        <v>23</v>
      </c>
      <c r="B64" s="110">
        <f>B56</f>
        <v>382</v>
      </c>
      <c r="C64" s="110">
        <f>C56</f>
        <v>395</v>
      </c>
      <c r="D64" s="209"/>
      <c r="E64" s="111">
        <f>C64-B64</f>
        <v>13</v>
      </c>
      <c r="F64" s="22">
        <f>$O$7*D62</f>
        <v>3.1111111111111112</v>
      </c>
      <c r="G64" s="69">
        <f>ROUND(F64*$L$3,-3)</f>
        <v>56000</v>
      </c>
      <c r="H64" s="200"/>
      <c r="I64" s="17"/>
    </row>
    <row r="65" spans="1:9" s="109" customFormat="1" ht="24.75" customHeight="1" x14ac:dyDescent="0.25">
      <c r="A65" s="136" t="s">
        <v>215</v>
      </c>
      <c r="B65" s="136"/>
      <c r="C65" s="136"/>
      <c r="D65" s="136"/>
      <c r="E65" s="137"/>
      <c r="F65" s="138"/>
      <c r="G65" s="139"/>
      <c r="H65" s="198">
        <f t="shared" ref="H65" si="15">ROUND(SUM(G66:G68),-3)</f>
        <v>337000</v>
      </c>
      <c r="I65" s="17">
        <f>F65*12000</f>
        <v>0</v>
      </c>
    </row>
    <row r="66" spans="1:9" s="108" customFormat="1" ht="16.5" customHeight="1" x14ac:dyDescent="0.25">
      <c r="A66" s="112" t="s">
        <v>5</v>
      </c>
      <c r="B66" s="112">
        <v>17286</v>
      </c>
      <c r="C66" s="112">
        <v>17365</v>
      </c>
      <c r="D66" s="207">
        <f>VLOOKUP(RIGHT(LEFT(A65,11),4),'so nguoi'!$I$8:$N$21,2,0)</f>
        <v>3</v>
      </c>
      <c r="E66" s="25">
        <f>C66-B66</f>
        <v>79</v>
      </c>
      <c r="F66" s="26">
        <f>E66</f>
        <v>79</v>
      </c>
      <c r="G66" s="70">
        <f>ROUND(F66*$L$2,-3)</f>
        <v>229000</v>
      </c>
      <c r="H66" s="199"/>
      <c r="I66" s="17"/>
    </row>
    <row r="67" spans="1:9" s="108" customFormat="1" ht="16.5" customHeight="1" x14ac:dyDescent="0.25">
      <c r="A67" s="110" t="s">
        <v>22</v>
      </c>
      <c r="B67" s="110">
        <v>145</v>
      </c>
      <c r="C67" s="110">
        <v>150</v>
      </c>
      <c r="D67" s="208"/>
      <c r="E67" s="111">
        <f>C67-B67</f>
        <v>5</v>
      </c>
      <c r="F67" s="22">
        <f>E67</f>
        <v>5</v>
      </c>
      <c r="G67" s="69">
        <f>ROUND(F67*$L$3,-3)</f>
        <v>90000</v>
      </c>
      <c r="H67" s="199"/>
      <c r="I67" s="17"/>
    </row>
    <row r="68" spans="1:9" s="108" customFormat="1" ht="16.5" customHeight="1" x14ac:dyDescent="0.25">
      <c r="A68" s="110" t="s">
        <v>23</v>
      </c>
      <c r="B68" s="132">
        <v>495</v>
      </c>
      <c r="C68" s="132">
        <v>502</v>
      </c>
      <c r="D68" s="209"/>
      <c r="E68" s="111">
        <f>C68-B68</f>
        <v>7</v>
      </c>
      <c r="F68" s="22">
        <f>$O$8*D66</f>
        <v>1</v>
      </c>
      <c r="G68" s="69">
        <f>ROUND(F68*$L$3,-3)</f>
        <v>18000</v>
      </c>
      <c r="H68" s="200"/>
      <c r="I68" s="17"/>
    </row>
    <row r="69" spans="1:9" s="109" customFormat="1" ht="24.75" customHeight="1" x14ac:dyDescent="0.25">
      <c r="A69" s="136" t="s">
        <v>216</v>
      </c>
      <c r="B69" s="136"/>
      <c r="C69" s="136"/>
      <c r="D69" s="136"/>
      <c r="E69" s="137"/>
      <c r="F69" s="138"/>
      <c r="G69" s="139"/>
      <c r="H69" s="198">
        <f t="shared" ref="H69" si="16">ROUND(SUM(G70:G72),-3)</f>
        <v>304000</v>
      </c>
      <c r="I69" s="17">
        <f>F69*12000</f>
        <v>0</v>
      </c>
    </row>
    <row r="70" spans="1:9" s="108" customFormat="1" ht="16.5" customHeight="1" x14ac:dyDescent="0.25">
      <c r="A70" s="112" t="s">
        <v>5</v>
      </c>
      <c r="B70" s="162">
        <v>15884</v>
      </c>
      <c r="C70" s="162">
        <v>15964</v>
      </c>
      <c r="D70" s="204">
        <f>VLOOKUP(RIGHT(LEFT(A69,11),4),'so nguoi'!$I$8:$N$21,2,0)</f>
        <v>6</v>
      </c>
      <c r="E70" s="25">
        <f>C70-B70</f>
        <v>80</v>
      </c>
      <c r="F70" s="26">
        <f>E70</f>
        <v>80</v>
      </c>
      <c r="G70" s="70">
        <f>ROUND(F70*$L$2,-3)</f>
        <v>232000</v>
      </c>
      <c r="H70" s="199"/>
      <c r="I70" s="17"/>
    </row>
    <row r="71" spans="1:9" s="108" customFormat="1" ht="16.5" customHeight="1" x14ac:dyDescent="0.25">
      <c r="A71" s="110" t="s">
        <v>22</v>
      </c>
      <c r="B71" s="110">
        <v>163</v>
      </c>
      <c r="C71" s="110">
        <v>165</v>
      </c>
      <c r="D71" s="205"/>
      <c r="E71" s="111">
        <f>C71-B71</f>
        <v>2</v>
      </c>
      <c r="F71" s="22">
        <f>E71</f>
        <v>2</v>
      </c>
      <c r="G71" s="69">
        <f>ROUND(F71*$L$3,-3)</f>
        <v>36000</v>
      </c>
      <c r="H71" s="199"/>
      <c r="I71" s="17"/>
    </row>
    <row r="72" spans="1:9" s="108" customFormat="1" ht="16.5" customHeight="1" x14ac:dyDescent="0.25">
      <c r="A72" s="110" t="s">
        <v>23</v>
      </c>
      <c r="B72" s="132">
        <f>B68</f>
        <v>495</v>
      </c>
      <c r="C72" s="132">
        <f>C68</f>
        <v>502</v>
      </c>
      <c r="D72" s="206"/>
      <c r="E72" s="111">
        <f>C72-B72</f>
        <v>7</v>
      </c>
      <c r="F72" s="22">
        <f>$O$8*D70</f>
        <v>2</v>
      </c>
      <c r="G72" s="69">
        <f>ROUND(F72*$L$3,-3)</f>
        <v>36000</v>
      </c>
      <c r="H72" s="200"/>
      <c r="I72" s="17"/>
    </row>
    <row r="73" spans="1:9" s="109" customFormat="1" ht="24.75" customHeight="1" x14ac:dyDescent="0.25">
      <c r="A73" s="136" t="s">
        <v>217</v>
      </c>
      <c r="B73" s="136"/>
      <c r="C73" s="136"/>
      <c r="D73" s="136"/>
      <c r="E73" s="137"/>
      <c r="F73" s="138"/>
      <c r="G73" s="139"/>
      <c r="H73" s="198">
        <f t="shared" ref="H73" si="17">ROUND(SUM(G74:G76),-3)</f>
        <v>0</v>
      </c>
      <c r="I73" s="17">
        <f>F73*12000</f>
        <v>0</v>
      </c>
    </row>
    <row r="74" spans="1:9" s="108" customFormat="1" ht="16.5" customHeight="1" x14ac:dyDescent="0.25">
      <c r="A74" s="112" t="s">
        <v>5</v>
      </c>
      <c r="B74" s="131">
        <v>9888</v>
      </c>
      <c r="C74" s="131">
        <v>9888</v>
      </c>
      <c r="D74" s="204">
        <f>VLOOKUP(RIGHT(LEFT(A73,11),4),'so nguoi'!$I$8:$GI$21,2,0)</f>
        <v>0</v>
      </c>
      <c r="E74" s="25">
        <f>C74-B74</f>
        <v>0</v>
      </c>
      <c r="F74" s="26">
        <f>E74</f>
        <v>0</v>
      </c>
      <c r="G74" s="70">
        <f>ROUND(F74*$L$2,-3)</f>
        <v>0</v>
      </c>
      <c r="H74" s="199"/>
      <c r="I74" s="17"/>
    </row>
    <row r="75" spans="1:9" s="108" customFormat="1" ht="16.5" customHeight="1" x14ac:dyDescent="0.25">
      <c r="A75" s="110" t="s">
        <v>22</v>
      </c>
      <c r="B75" s="110">
        <v>165</v>
      </c>
      <c r="C75" s="110">
        <v>165</v>
      </c>
      <c r="D75" s="205"/>
      <c r="E75" s="111">
        <f>C75-B75</f>
        <v>0</v>
      </c>
      <c r="F75" s="22">
        <f>E75</f>
        <v>0</v>
      </c>
      <c r="G75" s="69">
        <f>ROUND(F75*$L$3,-3)</f>
        <v>0</v>
      </c>
      <c r="H75" s="199"/>
      <c r="I75" s="17"/>
    </row>
    <row r="76" spans="1:9" s="108" customFormat="1" ht="16.5" customHeight="1" x14ac:dyDescent="0.25">
      <c r="A76" s="110" t="s">
        <v>23</v>
      </c>
      <c r="B76" s="110">
        <f>B72</f>
        <v>495</v>
      </c>
      <c r="C76" s="110">
        <f>C72</f>
        <v>502</v>
      </c>
      <c r="D76" s="206"/>
      <c r="E76" s="111">
        <f>C76-B76</f>
        <v>7</v>
      </c>
      <c r="F76" s="22">
        <f>$O$8*D74</f>
        <v>0</v>
      </c>
      <c r="G76" s="69">
        <f>ROUND(F76*$L$3,-3)</f>
        <v>0</v>
      </c>
      <c r="H76" s="200"/>
      <c r="I76" s="17"/>
    </row>
    <row r="77" spans="1:9" s="109" customFormat="1" ht="24.75" customHeight="1" x14ac:dyDescent="0.25">
      <c r="A77" s="136" t="s">
        <v>218</v>
      </c>
      <c r="B77" s="136"/>
      <c r="C77" s="136"/>
      <c r="D77" s="136"/>
      <c r="E77" s="137"/>
      <c r="F77" s="138"/>
      <c r="G77" s="139"/>
      <c r="H77" s="198">
        <f t="shared" ref="H77" si="18">ROUND(SUM(G78:G80),-3)</f>
        <v>0</v>
      </c>
      <c r="I77" s="17">
        <f>F77*12000</f>
        <v>0</v>
      </c>
    </row>
    <row r="78" spans="1:9" s="108" customFormat="1" ht="16.5" customHeight="1" x14ac:dyDescent="0.25">
      <c r="A78" s="112" t="s">
        <v>5</v>
      </c>
      <c r="B78" s="131">
        <v>1782</v>
      </c>
      <c r="C78" s="131">
        <v>1782</v>
      </c>
      <c r="D78" s="207">
        <f>VLOOKUP(RIGHT(LEFT(A77,11),4),'so nguoi'!$I$8:$N$21,2,0)</f>
        <v>0</v>
      </c>
      <c r="E78" s="25">
        <f>C78-B78</f>
        <v>0</v>
      </c>
      <c r="F78" s="26">
        <f>E78</f>
        <v>0</v>
      </c>
      <c r="G78" s="70">
        <f>ROUND(F78*$L$2,-3)</f>
        <v>0</v>
      </c>
      <c r="H78" s="199"/>
      <c r="I78" s="17"/>
    </row>
    <row r="79" spans="1:9" s="108" customFormat="1" ht="16.5" customHeight="1" x14ac:dyDescent="0.25">
      <c r="A79" s="110" t="s">
        <v>22</v>
      </c>
      <c r="B79" s="110">
        <v>153</v>
      </c>
      <c r="C79" s="110">
        <v>153</v>
      </c>
      <c r="D79" s="208"/>
      <c r="E79" s="111">
        <f>C79-B79</f>
        <v>0</v>
      </c>
      <c r="F79" s="22">
        <f>E79</f>
        <v>0</v>
      </c>
      <c r="G79" s="69">
        <f>ROUND(F79*$L$3,-3)</f>
        <v>0</v>
      </c>
      <c r="H79" s="199"/>
      <c r="I79" s="17"/>
    </row>
    <row r="80" spans="1:9" s="108" customFormat="1" ht="16.5" customHeight="1" x14ac:dyDescent="0.25">
      <c r="A80" s="110" t="s">
        <v>23</v>
      </c>
      <c r="B80" s="110">
        <f>B76</f>
        <v>495</v>
      </c>
      <c r="C80" s="110">
        <f>C76</f>
        <v>502</v>
      </c>
      <c r="D80" s="209"/>
      <c r="E80" s="111">
        <f>C80-B80</f>
        <v>7</v>
      </c>
      <c r="F80" s="22">
        <f>$O$8*D78</f>
        <v>0</v>
      </c>
      <c r="G80" s="69">
        <f>ROUND(F80*$L$3,-3)</f>
        <v>0</v>
      </c>
      <c r="H80" s="200"/>
      <c r="I80" s="17"/>
    </row>
    <row r="81" spans="1:9" s="109" customFormat="1" ht="24.75" customHeight="1" x14ac:dyDescent="0.25">
      <c r="A81" s="136" t="s">
        <v>219</v>
      </c>
      <c r="B81" s="136"/>
      <c r="C81" s="136"/>
      <c r="D81" s="136"/>
      <c r="E81" s="137"/>
      <c r="F81" s="138"/>
      <c r="G81" s="139"/>
      <c r="H81" s="198">
        <f t="shared" ref="H81" si="19">ROUND(SUM(G82:G84),-3)</f>
        <v>0</v>
      </c>
      <c r="I81" s="17">
        <f>F81*12000</f>
        <v>0</v>
      </c>
    </row>
    <row r="82" spans="1:9" s="108" customFormat="1" ht="16.5" customHeight="1" x14ac:dyDescent="0.25">
      <c r="A82" s="112" t="s">
        <v>5</v>
      </c>
      <c r="B82" s="112">
        <v>12737</v>
      </c>
      <c r="C82" s="112">
        <v>12737</v>
      </c>
      <c r="D82" s="207">
        <f>VLOOKUP(RIGHT(LEFT(A81,11),4),'so nguoi'!$I$8:$N$21,2,0)</f>
        <v>0</v>
      </c>
      <c r="E82" s="25">
        <f>C82-B82</f>
        <v>0</v>
      </c>
      <c r="F82" s="26">
        <f>E82</f>
        <v>0</v>
      </c>
      <c r="G82" s="70">
        <f>ROUND(F82*$L$2,-3)</f>
        <v>0</v>
      </c>
      <c r="H82" s="199"/>
      <c r="I82" s="17"/>
    </row>
    <row r="83" spans="1:9" s="108" customFormat="1" ht="16.5" customHeight="1" x14ac:dyDescent="0.25">
      <c r="A83" s="110" t="s">
        <v>22</v>
      </c>
      <c r="B83" s="110">
        <v>93</v>
      </c>
      <c r="C83" s="110">
        <v>93</v>
      </c>
      <c r="D83" s="208"/>
      <c r="E83" s="111">
        <f>C83-B83</f>
        <v>0</v>
      </c>
      <c r="F83" s="22">
        <f>E83</f>
        <v>0</v>
      </c>
      <c r="G83" s="69">
        <f>ROUND(F83*$L$3,-3)</f>
        <v>0</v>
      </c>
      <c r="H83" s="199"/>
      <c r="I83" s="17"/>
    </row>
    <row r="84" spans="1:9" s="108" customFormat="1" ht="16.5" customHeight="1" x14ac:dyDescent="0.25">
      <c r="A84" s="110" t="s">
        <v>23</v>
      </c>
      <c r="B84" s="110">
        <f>B80</f>
        <v>495</v>
      </c>
      <c r="C84" s="110">
        <f>C80</f>
        <v>502</v>
      </c>
      <c r="D84" s="209"/>
      <c r="E84" s="111">
        <f>C84-B84</f>
        <v>7</v>
      </c>
      <c r="F84" s="22">
        <f>$O$8*D82</f>
        <v>0</v>
      </c>
      <c r="G84" s="69">
        <f>ROUND(F84*$L$3,-3)</f>
        <v>0</v>
      </c>
      <c r="H84" s="200"/>
      <c r="I84" s="17"/>
    </row>
    <row r="85" spans="1:9" s="109" customFormat="1" ht="24.75" customHeight="1" x14ac:dyDescent="0.25">
      <c r="A85" s="136" t="s">
        <v>220</v>
      </c>
      <c r="B85" s="136"/>
      <c r="C85" s="136"/>
      <c r="D85" s="136"/>
      <c r="E85" s="137"/>
      <c r="F85" s="138"/>
      <c r="G85" s="139"/>
      <c r="H85" s="198">
        <f t="shared" ref="H85" si="20">ROUND(SUM(G86:G88),-3)</f>
        <v>0</v>
      </c>
      <c r="I85" s="17">
        <f>F85*12000</f>
        <v>0</v>
      </c>
    </row>
    <row r="86" spans="1:9" s="108" customFormat="1" ht="16.5" customHeight="1" x14ac:dyDescent="0.25">
      <c r="A86" s="112" t="s">
        <v>5</v>
      </c>
      <c r="B86" s="112">
        <v>10872</v>
      </c>
      <c r="C86" s="112">
        <v>10872</v>
      </c>
      <c r="D86" s="204">
        <f>VLOOKUP(RIGHT(LEFT(A85,11),4),'so nguoi'!$I$8:$N$21,2,0)</f>
        <v>0</v>
      </c>
      <c r="E86" s="25">
        <f>C86-B86</f>
        <v>0</v>
      </c>
      <c r="F86" s="26">
        <f>E86</f>
        <v>0</v>
      </c>
      <c r="G86" s="70">
        <f>ROUND(F86*$L$2,-3)</f>
        <v>0</v>
      </c>
      <c r="H86" s="199"/>
      <c r="I86" s="17"/>
    </row>
    <row r="87" spans="1:9" s="108" customFormat="1" ht="16.5" customHeight="1" x14ac:dyDescent="0.25">
      <c r="A87" s="110" t="s">
        <v>22</v>
      </c>
      <c r="B87" s="110">
        <v>235</v>
      </c>
      <c r="C87" s="110">
        <v>235</v>
      </c>
      <c r="D87" s="205"/>
      <c r="E87" s="111">
        <f>C87-B87</f>
        <v>0</v>
      </c>
      <c r="F87" s="22">
        <f>E87</f>
        <v>0</v>
      </c>
      <c r="G87" s="69">
        <f>ROUND(F87*$L$3,-3)</f>
        <v>0</v>
      </c>
      <c r="H87" s="199"/>
      <c r="I87" s="17"/>
    </row>
    <row r="88" spans="1:9" s="108" customFormat="1" ht="16.5" customHeight="1" x14ac:dyDescent="0.25">
      <c r="A88" s="110" t="s">
        <v>23</v>
      </c>
      <c r="B88" s="110">
        <f>B64</f>
        <v>382</v>
      </c>
      <c r="C88" s="110">
        <f>C64</f>
        <v>395</v>
      </c>
      <c r="D88" s="206"/>
      <c r="E88" s="111">
        <f>C88-B88</f>
        <v>13</v>
      </c>
      <c r="F88" s="22">
        <f>$O$7*D86</f>
        <v>0</v>
      </c>
      <c r="G88" s="69">
        <f>ROUND(F88*$L$3,-3)</f>
        <v>0</v>
      </c>
      <c r="H88" s="200"/>
      <c r="I88" s="17"/>
    </row>
    <row r="89" spans="1:9" s="109" customFormat="1" ht="24.75" customHeight="1" x14ac:dyDescent="0.25">
      <c r="A89" s="136" t="s">
        <v>221</v>
      </c>
      <c r="B89" s="136"/>
      <c r="C89" s="136"/>
      <c r="D89" s="136"/>
      <c r="E89" s="137"/>
      <c r="F89" s="138"/>
      <c r="G89" s="139"/>
      <c r="H89" s="198">
        <f t="shared" ref="H89" si="21">ROUND(SUM(G90:G92),-3)</f>
        <v>0</v>
      </c>
      <c r="I89" s="17">
        <f>F89*12000</f>
        <v>0</v>
      </c>
    </row>
    <row r="90" spans="1:9" s="108" customFormat="1" ht="16.5" customHeight="1" x14ac:dyDescent="0.25">
      <c r="A90" s="112" t="s">
        <v>5</v>
      </c>
      <c r="B90" s="112">
        <v>8978</v>
      </c>
      <c r="C90" s="112">
        <v>8978</v>
      </c>
      <c r="D90" s="204">
        <f>VLOOKUP(RIGHT(LEFT(A89,11),4),'so nguoi'!$I$8:$N$21,2,0)</f>
        <v>0</v>
      </c>
      <c r="E90" s="25">
        <f>C90-B90</f>
        <v>0</v>
      </c>
      <c r="F90" s="26">
        <f>E90</f>
        <v>0</v>
      </c>
      <c r="G90" s="70">
        <f>ROUND(F90*$L$2,-3)</f>
        <v>0</v>
      </c>
      <c r="H90" s="199"/>
      <c r="I90" s="17"/>
    </row>
    <row r="91" spans="1:9" s="108" customFormat="1" ht="16.5" customHeight="1" x14ac:dyDescent="0.25">
      <c r="A91" s="110" t="s">
        <v>22</v>
      </c>
      <c r="B91" s="110">
        <v>146</v>
      </c>
      <c r="C91" s="110">
        <v>146</v>
      </c>
      <c r="D91" s="205"/>
      <c r="E91" s="111">
        <f>C91-B91</f>
        <v>0</v>
      </c>
      <c r="F91" s="22">
        <f>E91</f>
        <v>0</v>
      </c>
      <c r="G91" s="69">
        <f>ROUND(F91*$L$3,-3)</f>
        <v>0</v>
      </c>
      <c r="H91" s="199"/>
      <c r="I91" s="17"/>
    </row>
    <row r="92" spans="1:9" s="108" customFormat="1" ht="16.5" customHeight="1" x14ac:dyDescent="0.25">
      <c r="A92" s="110" t="s">
        <v>23</v>
      </c>
      <c r="B92" s="110">
        <f>B88</f>
        <v>382</v>
      </c>
      <c r="C92" s="110">
        <f>C88</f>
        <v>395</v>
      </c>
      <c r="D92" s="206"/>
      <c r="E92" s="111">
        <f>C92-B92</f>
        <v>13</v>
      </c>
      <c r="F92" s="22">
        <f>$O$7*D90</f>
        <v>0</v>
      </c>
      <c r="G92" s="69">
        <f>ROUND(F92*$L$3,-3)</f>
        <v>0</v>
      </c>
      <c r="H92" s="200"/>
      <c r="I92" s="17"/>
    </row>
    <row r="93" spans="1:9" s="109" customFormat="1" ht="24.75" customHeight="1" x14ac:dyDescent="0.25">
      <c r="A93" s="136" t="s">
        <v>222</v>
      </c>
      <c r="B93" s="136"/>
      <c r="C93" s="136"/>
      <c r="D93" s="136"/>
      <c r="E93" s="137"/>
      <c r="F93" s="138"/>
      <c r="G93" s="139"/>
      <c r="H93" s="201">
        <f t="shared" ref="H93" si="22">ROUND(SUM(G94:G96),-3)</f>
        <v>0</v>
      </c>
      <c r="I93" s="17">
        <f>F93*12000</f>
        <v>0</v>
      </c>
    </row>
    <row r="94" spans="1:9" s="108" customFormat="1" ht="16.5" customHeight="1" x14ac:dyDescent="0.25">
      <c r="A94" s="112" t="s">
        <v>5</v>
      </c>
      <c r="B94" s="131">
        <v>18324</v>
      </c>
      <c r="C94" s="131">
        <v>18324</v>
      </c>
      <c r="D94" s="207">
        <f>VLOOKUP(RIGHT(LEFT(A93,11),4),'so nguoi'!$I$8:$N$21,2,0)</f>
        <v>0</v>
      </c>
      <c r="E94" s="25">
        <f>C94-B94</f>
        <v>0</v>
      </c>
      <c r="F94" s="26">
        <f>E94</f>
        <v>0</v>
      </c>
      <c r="G94" s="70">
        <f>ROUND(F94*$L$2,-3)</f>
        <v>0</v>
      </c>
      <c r="H94" s="202"/>
      <c r="I94" s="17"/>
    </row>
    <row r="95" spans="1:9" s="108" customFormat="1" ht="16.5" customHeight="1" x14ac:dyDescent="0.25">
      <c r="A95" s="110" t="s">
        <v>22</v>
      </c>
      <c r="B95" s="110">
        <v>248</v>
      </c>
      <c r="C95" s="110">
        <v>248</v>
      </c>
      <c r="D95" s="208"/>
      <c r="E95" s="111">
        <f>C95-B95</f>
        <v>0</v>
      </c>
      <c r="F95" s="22">
        <f>E95</f>
        <v>0</v>
      </c>
      <c r="G95" s="69">
        <f>ROUND(F95*$L$3,-3)</f>
        <v>0</v>
      </c>
      <c r="H95" s="202"/>
      <c r="I95" s="17"/>
    </row>
    <row r="96" spans="1:9" s="108" customFormat="1" ht="16.5" customHeight="1" x14ac:dyDescent="0.25">
      <c r="A96" s="110" t="s">
        <v>23</v>
      </c>
      <c r="B96" s="110">
        <f>B92</f>
        <v>382</v>
      </c>
      <c r="C96" s="110">
        <f>C92</f>
        <v>395</v>
      </c>
      <c r="D96" s="209"/>
      <c r="E96" s="111">
        <f>C96-B96</f>
        <v>13</v>
      </c>
      <c r="F96" s="22">
        <f>$O$7*D94</f>
        <v>0</v>
      </c>
      <c r="G96" s="69">
        <f>ROUND(F96*$L$3,-3)</f>
        <v>0</v>
      </c>
      <c r="H96" s="203"/>
      <c r="I96" s="17"/>
    </row>
    <row r="97" spans="1:9" s="109" customFormat="1" ht="24.75" customHeight="1" x14ac:dyDescent="0.25">
      <c r="A97" s="136" t="s">
        <v>223</v>
      </c>
      <c r="B97" s="136"/>
      <c r="C97" s="136"/>
      <c r="D97" s="136"/>
      <c r="E97" s="137"/>
      <c r="F97" s="138"/>
      <c r="G97" s="139"/>
      <c r="H97" s="198">
        <f t="shared" ref="H97" si="23">ROUND(SUM(G98:G100),-3)</f>
        <v>0</v>
      </c>
      <c r="I97" s="17">
        <f>F97*12000</f>
        <v>0</v>
      </c>
    </row>
    <row r="98" spans="1:9" s="108" customFormat="1" ht="16.5" customHeight="1" x14ac:dyDescent="0.25">
      <c r="A98" s="112" t="s">
        <v>5</v>
      </c>
      <c r="B98" s="112"/>
      <c r="C98" s="112"/>
      <c r="D98" s="207">
        <f>VLOOKUP(RIGHT(LEFT(A97,11),4),'so nguoi'!$K$8:$N$21,2,0)</f>
        <v>0</v>
      </c>
      <c r="E98" s="25">
        <f>C98-B98</f>
        <v>0</v>
      </c>
      <c r="F98" s="26">
        <f>E98</f>
        <v>0</v>
      </c>
      <c r="G98" s="70">
        <f>ROUND(F98*$L$2,-3)</f>
        <v>0</v>
      </c>
      <c r="H98" s="199"/>
      <c r="I98" s="17"/>
    </row>
    <row r="99" spans="1:9" s="108" customFormat="1" ht="16.5" customHeight="1" x14ac:dyDescent="0.25">
      <c r="A99" s="110" t="s">
        <v>22</v>
      </c>
      <c r="B99" s="110"/>
      <c r="C99" s="110"/>
      <c r="D99" s="208"/>
      <c r="E99" s="111">
        <f>C99-B99</f>
        <v>0</v>
      </c>
      <c r="F99" s="22">
        <f>E99</f>
        <v>0</v>
      </c>
      <c r="G99" s="69">
        <f>ROUND(F99*$L$3,-3)</f>
        <v>0</v>
      </c>
      <c r="H99" s="199"/>
      <c r="I99" s="17"/>
    </row>
    <row r="100" spans="1:9" s="108" customFormat="1" ht="16.5" customHeight="1" x14ac:dyDescent="0.25">
      <c r="A100" s="110" t="s">
        <v>23</v>
      </c>
      <c r="B100" s="110"/>
      <c r="C100" s="110"/>
      <c r="D100" s="209"/>
      <c r="E100" s="111">
        <f>C100-B100</f>
        <v>0</v>
      </c>
      <c r="F100" s="22">
        <f>$O$5*D98</f>
        <v>0</v>
      </c>
      <c r="G100" s="69">
        <f>ROUND(F100*$L$3,-3)</f>
        <v>0</v>
      </c>
      <c r="H100" s="200"/>
      <c r="I100" s="17"/>
    </row>
    <row r="101" spans="1:9" s="109" customFormat="1" ht="24.75" customHeight="1" x14ac:dyDescent="0.25">
      <c r="A101" s="136" t="s">
        <v>224</v>
      </c>
      <c r="B101" s="136"/>
      <c r="C101" s="136"/>
      <c r="D101" s="136"/>
      <c r="E101" s="137"/>
      <c r="F101" s="138"/>
      <c r="G101" s="139"/>
      <c r="H101" s="198">
        <f t="shared" ref="H101" si="24">ROUND(SUM(G102:G104),-3)</f>
        <v>0</v>
      </c>
      <c r="I101" s="17">
        <f>F101*12000</f>
        <v>0</v>
      </c>
    </row>
    <row r="102" spans="1:9" s="108" customFormat="1" ht="16.5" customHeight="1" x14ac:dyDescent="0.25">
      <c r="A102" s="112" t="s">
        <v>5</v>
      </c>
      <c r="B102" s="112"/>
      <c r="C102" s="112"/>
      <c r="D102" s="207">
        <f>VLOOKUP(RIGHT(LEFT(A101,11),4),'so nguoi'!$K$8:$N$21,2,0)</f>
        <v>0</v>
      </c>
      <c r="E102" s="25">
        <f>C102-B102</f>
        <v>0</v>
      </c>
      <c r="F102" s="26">
        <f>E102</f>
        <v>0</v>
      </c>
      <c r="G102" s="70">
        <f>ROUND(F102*$L$2,-3)</f>
        <v>0</v>
      </c>
      <c r="H102" s="199"/>
      <c r="I102" s="17"/>
    </row>
    <row r="103" spans="1:9" s="108" customFormat="1" ht="16.5" customHeight="1" x14ac:dyDescent="0.25">
      <c r="A103" s="110" t="s">
        <v>22</v>
      </c>
      <c r="B103" s="110"/>
      <c r="C103" s="110"/>
      <c r="D103" s="208"/>
      <c r="E103" s="111">
        <f>C103-B103</f>
        <v>0</v>
      </c>
      <c r="F103" s="22">
        <f>E103</f>
        <v>0</v>
      </c>
      <c r="G103" s="69">
        <f>ROUND(F103*$L$3,-3)</f>
        <v>0</v>
      </c>
      <c r="H103" s="199"/>
      <c r="I103" s="17"/>
    </row>
    <row r="104" spans="1:9" s="108" customFormat="1" ht="16.5" customHeight="1" x14ac:dyDescent="0.25">
      <c r="A104" s="110" t="s">
        <v>23</v>
      </c>
      <c r="B104" s="110"/>
      <c r="C104" s="110"/>
      <c r="D104" s="209"/>
      <c r="E104" s="111">
        <f>C104-B104</f>
        <v>0</v>
      </c>
      <c r="F104" s="22">
        <f>$O$5*D102</f>
        <v>0</v>
      </c>
      <c r="G104" s="69">
        <f>ROUND(F104*$L$3,-3)</f>
        <v>0</v>
      </c>
      <c r="H104" s="200"/>
      <c r="I104" s="17"/>
    </row>
    <row r="105" spans="1:9" ht="17.25" x14ac:dyDescent="0.25">
      <c r="A105" s="136" t="s">
        <v>225</v>
      </c>
      <c r="B105" s="136"/>
      <c r="C105" s="136"/>
      <c r="D105" s="136"/>
      <c r="E105" s="137"/>
      <c r="F105" s="138"/>
      <c r="G105" s="139"/>
      <c r="H105" s="198">
        <f t="shared" ref="H105" si="25">ROUND(SUM(G106:G108),-3)</f>
        <v>0</v>
      </c>
    </row>
    <row r="106" spans="1:9" ht="16.5" customHeight="1" x14ac:dyDescent="0.25">
      <c r="A106" s="112" t="s">
        <v>5</v>
      </c>
      <c r="B106" s="112"/>
      <c r="C106" s="112"/>
      <c r="D106" s="207">
        <f>VLOOKUP(RIGHT(LEFT(A105,11),4),'so nguoi'!$K$8:$N$21,2,0)</f>
        <v>0</v>
      </c>
      <c r="E106" s="25">
        <f>C106-B106</f>
        <v>0</v>
      </c>
      <c r="F106" s="26">
        <f>E106</f>
        <v>0</v>
      </c>
      <c r="G106" s="70">
        <f>ROUND(F106*$L$2,-3)</f>
        <v>0</v>
      </c>
      <c r="H106" s="199"/>
    </row>
    <row r="107" spans="1:9" ht="16.5" customHeight="1" x14ac:dyDescent="0.25">
      <c r="A107" s="110" t="s">
        <v>22</v>
      </c>
      <c r="B107" s="110"/>
      <c r="C107" s="110"/>
      <c r="D107" s="208"/>
      <c r="E107" s="111">
        <f>C107-B107</f>
        <v>0</v>
      </c>
      <c r="F107" s="22">
        <f>E107</f>
        <v>0</v>
      </c>
      <c r="G107" s="69">
        <f>ROUND(F107*$L$3,-3)</f>
        <v>0</v>
      </c>
      <c r="H107" s="199"/>
    </row>
    <row r="108" spans="1:9" ht="16.5" customHeight="1" x14ac:dyDescent="0.25">
      <c r="A108" s="110" t="s">
        <v>23</v>
      </c>
      <c r="B108" s="110"/>
      <c r="C108" s="110"/>
      <c r="D108" s="209"/>
      <c r="E108" s="111">
        <f>C108-B108</f>
        <v>0</v>
      </c>
      <c r="F108" s="22">
        <f>$O$5*D106</f>
        <v>0</v>
      </c>
      <c r="G108" s="69">
        <f>ROUND(F108*$L$3,-3)</f>
        <v>0</v>
      </c>
      <c r="H108" s="200"/>
    </row>
    <row r="109" spans="1:9" ht="17.25" x14ac:dyDescent="0.25">
      <c r="A109" s="136" t="s">
        <v>226</v>
      </c>
      <c r="B109" s="136"/>
      <c r="C109" s="136"/>
      <c r="D109" s="136"/>
      <c r="E109" s="137"/>
      <c r="F109" s="138"/>
      <c r="G109" s="139"/>
      <c r="H109" s="198">
        <f t="shared" ref="H109" si="26">ROUND(SUM(G110:G112),-3)</f>
        <v>0</v>
      </c>
    </row>
    <row r="110" spans="1:9" ht="16.5" customHeight="1" x14ac:dyDescent="0.25">
      <c r="A110" s="112" t="s">
        <v>5</v>
      </c>
      <c r="B110" s="112"/>
      <c r="C110" s="112"/>
      <c r="D110" s="207">
        <f>VLOOKUP(RIGHT(LEFT(A109,11),4),'so nguoi'!$K$8:$N$21,2,0)</f>
        <v>0</v>
      </c>
      <c r="E110" s="25">
        <f>C110-B110</f>
        <v>0</v>
      </c>
      <c r="F110" s="26">
        <f>E110</f>
        <v>0</v>
      </c>
      <c r="G110" s="70">
        <f>ROUND(F110*$L$2,-3)</f>
        <v>0</v>
      </c>
      <c r="H110" s="199"/>
    </row>
    <row r="111" spans="1:9" ht="16.5" customHeight="1" x14ac:dyDescent="0.25">
      <c r="A111" s="110" t="s">
        <v>22</v>
      </c>
      <c r="B111" s="110"/>
      <c r="C111" s="110"/>
      <c r="D111" s="208"/>
      <c r="E111" s="111">
        <f>C111-B111</f>
        <v>0</v>
      </c>
      <c r="F111" s="22">
        <f>E111</f>
        <v>0</v>
      </c>
      <c r="G111" s="69">
        <f>ROUND(F111*$L$3,-3)</f>
        <v>0</v>
      </c>
      <c r="H111" s="199"/>
    </row>
    <row r="112" spans="1:9" ht="16.5" customHeight="1" x14ac:dyDescent="0.25">
      <c r="A112" s="110" t="s">
        <v>23</v>
      </c>
      <c r="B112" s="110"/>
      <c r="C112" s="110"/>
      <c r="D112" s="209"/>
      <c r="E112" s="111">
        <f>C112-B112</f>
        <v>0</v>
      </c>
      <c r="F112" s="22">
        <f>$O$5*D110</f>
        <v>0</v>
      </c>
      <c r="G112" s="69">
        <f>ROUND(F112*$L$3,-3)</f>
        <v>0</v>
      </c>
      <c r="H112" s="200"/>
    </row>
    <row r="113" spans="1:8" ht="17.25" x14ac:dyDescent="0.25">
      <c r="A113" s="136" t="s">
        <v>227</v>
      </c>
      <c r="B113" s="136"/>
      <c r="C113" s="136"/>
      <c r="D113" s="136"/>
      <c r="E113" s="137"/>
      <c r="F113" s="138"/>
      <c r="G113" s="139"/>
      <c r="H113" s="198">
        <f t="shared" ref="H113" si="27">ROUND(SUM(G114:G116),-3)</f>
        <v>0</v>
      </c>
    </row>
    <row r="114" spans="1:8" ht="16.5" customHeight="1" x14ac:dyDescent="0.25">
      <c r="A114" s="112" t="s">
        <v>5</v>
      </c>
      <c r="B114" s="112"/>
      <c r="C114" s="112"/>
      <c r="D114" s="207">
        <f>VLOOKUP(RIGHT(LEFT(A113,11),4),'so nguoi'!$K$8:$N$21,2,0)</f>
        <v>0</v>
      </c>
      <c r="E114" s="25">
        <f>C114-B114</f>
        <v>0</v>
      </c>
      <c r="F114" s="26">
        <f>E114</f>
        <v>0</v>
      </c>
      <c r="G114" s="70">
        <f>ROUND(F114*$L$2,-3)</f>
        <v>0</v>
      </c>
      <c r="H114" s="199"/>
    </row>
    <row r="115" spans="1:8" ht="16.5" customHeight="1" x14ac:dyDescent="0.25">
      <c r="A115" s="110" t="s">
        <v>22</v>
      </c>
      <c r="B115" s="110"/>
      <c r="C115" s="110"/>
      <c r="D115" s="208"/>
      <c r="E115" s="111">
        <f>C115-B115</f>
        <v>0</v>
      </c>
      <c r="F115" s="22">
        <f>E115</f>
        <v>0</v>
      </c>
      <c r="G115" s="69">
        <f>ROUND(F115*$L$3,-3)</f>
        <v>0</v>
      </c>
      <c r="H115" s="199"/>
    </row>
    <row r="116" spans="1:8" ht="16.5" customHeight="1" x14ac:dyDescent="0.25">
      <c r="A116" s="110" t="s">
        <v>23</v>
      </c>
      <c r="B116" s="110"/>
      <c r="C116" s="110"/>
      <c r="D116" s="209"/>
      <c r="E116" s="111">
        <f>C116-B116</f>
        <v>0</v>
      </c>
      <c r="F116" s="22">
        <f>$O$5*D114</f>
        <v>0</v>
      </c>
      <c r="G116" s="69">
        <f>ROUND(F116*$L$3,-3)</f>
        <v>0</v>
      </c>
      <c r="H116" s="200"/>
    </row>
    <row r="117" spans="1:8" ht="17.25" x14ac:dyDescent="0.25">
      <c r="A117" s="136" t="s">
        <v>228</v>
      </c>
      <c r="B117" s="136"/>
      <c r="C117" s="136"/>
      <c r="D117" s="136"/>
      <c r="E117" s="137"/>
      <c r="F117" s="138"/>
      <c r="G117" s="139"/>
      <c r="H117" s="198">
        <f t="shared" ref="H117" si="28">ROUND(SUM(G118:G120),-3)</f>
        <v>0</v>
      </c>
    </row>
    <row r="118" spans="1:8" ht="16.5" customHeight="1" x14ac:dyDescent="0.25">
      <c r="A118" s="112" t="s">
        <v>5</v>
      </c>
      <c r="B118" s="112">
        <v>12754</v>
      </c>
      <c r="C118" s="112">
        <v>12754</v>
      </c>
      <c r="D118" s="204">
        <v>0</v>
      </c>
      <c r="E118" s="25">
        <f>C118-B118</f>
        <v>0</v>
      </c>
      <c r="F118" s="26">
        <f>E118</f>
        <v>0</v>
      </c>
      <c r="G118" s="70">
        <f>ROUND(F118*$L$2,-3)</f>
        <v>0</v>
      </c>
      <c r="H118" s="199"/>
    </row>
    <row r="119" spans="1:8" ht="16.5" customHeight="1" x14ac:dyDescent="0.25">
      <c r="A119" s="110" t="s">
        <v>22</v>
      </c>
      <c r="B119" s="110">
        <v>103</v>
      </c>
      <c r="C119" s="110">
        <v>103</v>
      </c>
      <c r="D119" s="205"/>
      <c r="E119" s="111">
        <f>C119-B119</f>
        <v>0</v>
      </c>
      <c r="F119" s="22">
        <f>E119</f>
        <v>0</v>
      </c>
      <c r="G119" s="69">
        <f>ROUND(F119*$L$3,-3)</f>
        <v>0</v>
      </c>
      <c r="H119" s="199"/>
    </row>
    <row r="120" spans="1:8" ht="16.5" customHeight="1" x14ac:dyDescent="0.25">
      <c r="A120" s="110" t="s">
        <v>23</v>
      </c>
      <c r="B120" s="132">
        <v>1291</v>
      </c>
      <c r="C120" s="132">
        <v>1291</v>
      </c>
      <c r="D120" s="206"/>
      <c r="E120" s="111">
        <f>C120-B120</f>
        <v>0</v>
      </c>
      <c r="F120" s="22">
        <f>$O$9*D118</f>
        <v>0</v>
      </c>
      <c r="G120" s="69">
        <f>ROUND(F120*$L$3,-3)</f>
        <v>0</v>
      </c>
      <c r="H120" s="200"/>
    </row>
    <row r="121" spans="1:8" ht="17.25" x14ac:dyDescent="0.25">
      <c r="A121" s="136" t="s">
        <v>229</v>
      </c>
      <c r="B121" s="136"/>
      <c r="C121" s="136"/>
      <c r="D121" s="136"/>
      <c r="E121" s="137"/>
      <c r="F121" s="138"/>
      <c r="G121" s="139"/>
      <c r="H121" s="198">
        <f t="shared" ref="H121" si="29">ROUND(SUM(G122:G124),-3)</f>
        <v>0</v>
      </c>
    </row>
    <row r="122" spans="1:8" ht="16.5" customHeight="1" x14ac:dyDescent="0.25">
      <c r="A122" s="112" t="s">
        <v>5</v>
      </c>
      <c r="B122" s="112">
        <v>1683</v>
      </c>
      <c r="C122" s="112">
        <v>1683</v>
      </c>
      <c r="D122" s="204">
        <f>VLOOKUP(RIGHT(LEFT(A121,11),4),'so nguoi'!$K$8:$N$21,2,0)</f>
        <v>0</v>
      </c>
      <c r="E122" s="25">
        <f>C122-B122</f>
        <v>0</v>
      </c>
      <c r="F122" s="26">
        <f>E122</f>
        <v>0</v>
      </c>
      <c r="G122" s="70">
        <f>ROUND(F122*$L$2,-3)</f>
        <v>0</v>
      </c>
      <c r="H122" s="199"/>
    </row>
    <row r="123" spans="1:8" ht="16.5" customHeight="1" x14ac:dyDescent="0.25">
      <c r="A123" s="110" t="s">
        <v>22</v>
      </c>
      <c r="B123" s="110">
        <v>164</v>
      </c>
      <c r="C123" s="110">
        <v>164</v>
      </c>
      <c r="D123" s="205"/>
      <c r="E123" s="111">
        <f>C123-B123</f>
        <v>0</v>
      </c>
      <c r="F123" s="22">
        <f>E123</f>
        <v>0</v>
      </c>
      <c r="G123" s="69">
        <f>ROUND(F123*$L$3,-3)</f>
        <v>0</v>
      </c>
      <c r="H123" s="199"/>
    </row>
    <row r="124" spans="1:8" ht="16.5" customHeight="1" x14ac:dyDescent="0.25">
      <c r="A124" s="110" t="s">
        <v>23</v>
      </c>
      <c r="B124" s="110">
        <f>B120</f>
        <v>1291</v>
      </c>
      <c r="C124" s="110">
        <f>C120</f>
        <v>1291</v>
      </c>
      <c r="D124" s="206"/>
      <c r="E124" s="111">
        <f>C124-B124</f>
        <v>0</v>
      </c>
      <c r="F124" s="22">
        <f>$O$9*D122</f>
        <v>0</v>
      </c>
      <c r="G124" s="69">
        <f>ROUND(F124*$L$3,-3)</f>
        <v>0</v>
      </c>
      <c r="H124" s="200"/>
    </row>
    <row r="125" spans="1:8" ht="17.25" x14ac:dyDescent="0.25">
      <c r="A125" s="136" t="s">
        <v>230</v>
      </c>
      <c r="B125" s="136"/>
      <c r="C125" s="136"/>
      <c r="D125" s="136"/>
      <c r="E125" s="137"/>
      <c r="F125" s="138"/>
      <c r="G125" s="139"/>
      <c r="H125" s="198">
        <f t="shared" ref="H125" si="30">ROUND(SUM(G126:G128),-3)</f>
        <v>0</v>
      </c>
    </row>
    <row r="126" spans="1:8" ht="16.5" customHeight="1" x14ac:dyDescent="0.25">
      <c r="A126" s="112" t="s">
        <v>5</v>
      </c>
      <c r="B126" s="112"/>
      <c r="C126" s="112"/>
      <c r="D126" s="207">
        <f>VLOOKUP(RIGHT(LEFT(A125,11),4),'so nguoi'!$K$8:$N$21,2,0)</f>
        <v>0</v>
      </c>
      <c r="E126" s="25">
        <f>C126-B126</f>
        <v>0</v>
      </c>
      <c r="F126" s="26">
        <f>E126</f>
        <v>0</v>
      </c>
      <c r="G126" s="70">
        <f>ROUND(F126*$L$2,-3)</f>
        <v>0</v>
      </c>
      <c r="H126" s="199"/>
    </row>
    <row r="127" spans="1:8" ht="16.5" customHeight="1" x14ac:dyDescent="0.25">
      <c r="A127" s="110" t="s">
        <v>22</v>
      </c>
      <c r="B127" s="110"/>
      <c r="C127" s="110"/>
      <c r="D127" s="208"/>
      <c r="E127" s="111">
        <f>C127-B127</f>
        <v>0</v>
      </c>
      <c r="F127" s="22">
        <f>E127</f>
        <v>0</v>
      </c>
      <c r="G127" s="69">
        <f>ROUND(F127*$L$3,-3)</f>
        <v>0</v>
      </c>
      <c r="H127" s="199"/>
    </row>
    <row r="128" spans="1:8" ht="16.5" customHeight="1" x14ac:dyDescent="0.25">
      <c r="A128" s="110" t="s">
        <v>23</v>
      </c>
      <c r="B128" s="110"/>
      <c r="C128" s="110"/>
      <c r="D128" s="209"/>
      <c r="E128" s="111">
        <f>C128-B128</f>
        <v>0</v>
      </c>
      <c r="F128" s="22">
        <f>$O$5*D126</f>
        <v>0</v>
      </c>
      <c r="G128" s="69">
        <f>ROUND(F128*$L$3,-3)</f>
        <v>0</v>
      </c>
      <c r="H128" s="200"/>
    </row>
    <row r="129" spans="1:11" ht="17.25" x14ac:dyDescent="0.25">
      <c r="A129" s="136" t="s">
        <v>231</v>
      </c>
      <c r="B129" s="136"/>
      <c r="C129" s="136"/>
      <c r="D129" s="136"/>
      <c r="E129" s="137"/>
      <c r="F129" s="138"/>
      <c r="G129" s="139"/>
      <c r="H129" s="198">
        <f t="shared" ref="H129" si="31">ROUND(SUM(G130:G132),-3)</f>
        <v>0</v>
      </c>
    </row>
    <row r="130" spans="1:11" ht="16.5" customHeight="1" x14ac:dyDescent="0.25">
      <c r="A130" s="112" t="s">
        <v>5</v>
      </c>
      <c r="B130" s="112"/>
      <c r="C130" s="112"/>
      <c r="D130" s="207">
        <f>VLOOKUP(RIGHT(LEFT(A129,11),4),'so nguoi'!$K$8:$N$21,2,0)</f>
        <v>0</v>
      </c>
      <c r="E130" s="25">
        <f>C130-B130</f>
        <v>0</v>
      </c>
      <c r="F130" s="26">
        <f>E130</f>
        <v>0</v>
      </c>
      <c r="G130" s="70">
        <f>ROUND(F130*$L$2,-3)</f>
        <v>0</v>
      </c>
      <c r="H130" s="199"/>
    </row>
    <row r="131" spans="1:11" ht="16.5" customHeight="1" x14ac:dyDescent="0.25">
      <c r="A131" s="110" t="s">
        <v>22</v>
      </c>
      <c r="B131" s="110"/>
      <c r="C131" s="110"/>
      <c r="D131" s="208"/>
      <c r="E131" s="111">
        <f>C131-B131</f>
        <v>0</v>
      </c>
      <c r="F131" s="22">
        <f>E131</f>
        <v>0</v>
      </c>
      <c r="G131" s="69">
        <f>ROUND(F131*$L$3,-3)</f>
        <v>0</v>
      </c>
      <c r="H131" s="199"/>
    </row>
    <row r="132" spans="1:11" ht="16.5" customHeight="1" x14ac:dyDescent="0.25">
      <c r="A132" s="110" t="s">
        <v>23</v>
      </c>
      <c r="B132" s="110"/>
      <c r="C132" s="110"/>
      <c r="D132" s="209"/>
      <c r="E132" s="111">
        <f>C132-B132</f>
        <v>0</v>
      </c>
      <c r="F132" s="22">
        <f>$O$5*D130</f>
        <v>0</v>
      </c>
      <c r="G132" s="69">
        <f>ROUND(F132*$L$3,-3)</f>
        <v>0</v>
      </c>
      <c r="H132" s="200"/>
    </row>
    <row r="133" spans="1:11" ht="17.25" x14ac:dyDescent="0.25">
      <c r="A133" s="136" t="s">
        <v>232</v>
      </c>
      <c r="B133" s="136"/>
      <c r="C133" s="136"/>
      <c r="D133" s="136"/>
      <c r="E133" s="137"/>
      <c r="F133" s="138"/>
      <c r="G133" s="139"/>
      <c r="H133" s="198">
        <f t="shared" ref="H133" si="32">ROUND(SUM(G134:G136),-3)</f>
        <v>0</v>
      </c>
    </row>
    <row r="134" spans="1:11" ht="16.5" customHeight="1" x14ac:dyDescent="0.25">
      <c r="A134" s="112" t="s">
        <v>5</v>
      </c>
      <c r="B134" s="112"/>
      <c r="C134" s="112"/>
      <c r="D134" s="207">
        <f>VLOOKUP(RIGHT(LEFT(A133,11),4),'so nguoi'!$K$8:$N$21,2,0)</f>
        <v>0</v>
      </c>
      <c r="E134" s="25">
        <f>C134-B134</f>
        <v>0</v>
      </c>
      <c r="F134" s="26">
        <f>E134</f>
        <v>0</v>
      </c>
      <c r="G134" s="70">
        <f>ROUND(F134*$L$2,-3)</f>
        <v>0</v>
      </c>
      <c r="H134" s="199"/>
    </row>
    <row r="135" spans="1:11" ht="16.5" customHeight="1" x14ac:dyDescent="0.25">
      <c r="A135" s="110" t="s">
        <v>22</v>
      </c>
      <c r="B135" s="110"/>
      <c r="C135" s="110"/>
      <c r="D135" s="208"/>
      <c r="E135" s="111">
        <f>C135-B135</f>
        <v>0</v>
      </c>
      <c r="F135" s="22">
        <f>E135</f>
        <v>0</v>
      </c>
      <c r="G135" s="69">
        <f>ROUND(F135*$L$3,-3)</f>
        <v>0</v>
      </c>
      <c r="H135" s="199"/>
    </row>
    <row r="136" spans="1:11" ht="16.5" customHeight="1" x14ac:dyDescent="0.25">
      <c r="A136" s="110" t="s">
        <v>23</v>
      </c>
      <c r="B136" s="110"/>
      <c r="C136" s="110"/>
      <c r="D136" s="209"/>
      <c r="E136" s="111">
        <f>C136-B136</f>
        <v>0</v>
      </c>
      <c r="F136" s="22">
        <f>$O$5*D134</f>
        <v>0</v>
      </c>
      <c r="G136" s="69">
        <f>ROUND(F136*$L$3,-3)</f>
        <v>0</v>
      </c>
      <c r="H136" s="200"/>
    </row>
    <row r="137" spans="1:11" ht="17.25" x14ac:dyDescent="0.25">
      <c r="A137" s="136" t="s">
        <v>233</v>
      </c>
      <c r="B137" s="136"/>
      <c r="C137" s="136"/>
      <c r="D137" s="136"/>
      <c r="E137" s="137"/>
      <c r="F137" s="138"/>
      <c r="G137" s="139"/>
      <c r="H137" s="198">
        <f t="shared" ref="H137" si="33">ROUND(SUM(G138:G140),-3)</f>
        <v>0</v>
      </c>
    </row>
    <row r="138" spans="1:11" ht="16.5" customHeight="1" x14ac:dyDescent="0.25">
      <c r="A138" s="112" t="s">
        <v>5</v>
      </c>
      <c r="B138" s="112"/>
      <c r="C138" s="112"/>
      <c r="D138" s="207">
        <f>VLOOKUP(RIGHT(LEFT(A137,11),4),'so nguoi'!$K$8:$N$21,2,0)</f>
        <v>0</v>
      </c>
      <c r="E138" s="25">
        <f>C138-B138</f>
        <v>0</v>
      </c>
      <c r="F138" s="26">
        <f>E138</f>
        <v>0</v>
      </c>
      <c r="G138" s="70">
        <f>ROUND(F138*$L$2,-3)</f>
        <v>0</v>
      </c>
      <c r="H138" s="199"/>
    </row>
    <row r="139" spans="1:11" ht="16.5" customHeight="1" x14ac:dyDescent="0.25">
      <c r="A139" s="110" t="s">
        <v>22</v>
      </c>
      <c r="B139" s="110"/>
      <c r="C139" s="110"/>
      <c r="D139" s="208"/>
      <c r="E139" s="111">
        <f>C139-B139</f>
        <v>0</v>
      </c>
      <c r="F139" s="22">
        <f>E139</f>
        <v>0</v>
      </c>
      <c r="G139" s="69">
        <f>ROUND(F139*$L$3,-3)</f>
        <v>0</v>
      </c>
      <c r="H139" s="199"/>
    </row>
    <row r="140" spans="1:11" ht="16.5" customHeight="1" x14ac:dyDescent="0.25">
      <c r="A140" s="110" t="s">
        <v>23</v>
      </c>
      <c r="B140" s="110"/>
      <c r="C140" s="110"/>
      <c r="D140" s="209"/>
      <c r="E140" s="111">
        <f>C140-B140</f>
        <v>0</v>
      </c>
      <c r="F140" s="22">
        <f>$O$5*D138</f>
        <v>0</v>
      </c>
      <c r="G140" s="69">
        <f>ROUND(F140*$L$3,-3)</f>
        <v>0</v>
      </c>
      <c r="H140" s="200"/>
    </row>
    <row r="141" spans="1:11" s="108" customFormat="1" ht="23.25" customHeight="1" x14ac:dyDescent="0.25">
      <c r="A141" s="191" t="s">
        <v>11</v>
      </c>
      <c r="B141" s="192"/>
      <c r="C141" s="192"/>
      <c r="D141" s="192"/>
      <c r="E141" s="192"/>
      <c r="F141" s="193"/>
      <c r="G141" s="37">
        <f ca="1">ROUND(SUMIF($A$8:$F$140,"Điện",G8:G140),-3)</f>
        <v>2853000</v>
      </c>
      <c r="H141" s="37">
        <f ca="1">SUMIF($A$8:$F$140,"Điện",F8:F140)</f>
        <v>984</v>
      </c>
      <c r="I141" s="17" t="e">
        <f>#REF!-H142</f>
        <v>#REF!</v>
      </c>
    </row>
    <row r="142" spans="1:11" s="108" customFormat="1" ht="23.25" customHeight="1" x14ac:dyDescent="0.25">
      <c r="A142" s="191" t="s">
        <v>12</v>
      </c>
      <c r="B142" s="192"/>
      <c r="C142" s="192"/>
      <c r="D142" s="192"/>
      <c r="E142" s="192"/>
      <c r="F142" s="193"/>
      <c r="G142" s="37">
        <f ca="1">ROUND(SUMIF($A$8:$F$140,"Nước nhà tắm",G8:G140)+SUMIF($A$8:$F$140,"Nước Nhà VS",G8:G140),-3)</f>
        <v>2088000</v>
      </c>
      <c r="H142" s="46">
        <f>SUMIF($A$8:$A$140,"Nước nhà tắm",F8:F140)+SUMIF($A$8:$A$140,"Nước Nhà VS",F8:F140)</f>
        <v>116</v>
      </c>
      <c r="I142" s="47">
        <f>H142*15000</f>
        <v>1740000</v>
      </c>
      <c r="J142" s="49">
        <f ca="1">I142-G142</f>
        <v>-348000</v>
      </c>
      <c r="K142" s="11">
        <f ca="1">G142/15000</f>
        <v>139.19999999999999</v>
      </c>
    </row>
    <row r="143" spans="1:11" s="108" customFormat="1" ht="23.25" customHeight="1" x14ac:dyDescent="0.25">
      <c r="A143" s="191" t="s">
        <v>13</v>
      </c>
      <c r="B143" s="192"/>
      <c r="C143" s="192"/>
      <c r="D143" s="192"/>
      <c r="E143" s="192"/>
      <c r="F143" s="193"/>
      <c r="G143" s="37">
        <f ca="1">SUM(G141:G142)</f>
        <v>4941000</v>
      </c>
      <c r="H143" s="38"/>
      <c r="I143" s="17"/>
      <c r="J143" s="11"/>
    </row>
    <row r="144" spans="1:11" x14ac:dyDescent="0.25">
      <c r="B144" s="157"/>
      <c r="C144" s="157"/>
    </row>
    <row r="145" spans="2:10" x14ac:dyDescent="0.25">
      <c r="B145" s="113"/>
      <c r="C145" s="113"/>
    </row>
    <row r="146" spans="2:10" x14ac:dyDescent="0.25">
      <c r="B146"/>
      <c r="C146"/>
      <c r="J146" s="11"/>
    </row>
    <row r="147" spans="2:10" x14ac:dyDescent="0.25">
      <c r="B147" s="113"/>
      <c r="C147" s="113"/>
    </row>
    <row r="148" spans="2:10" x14ac:dyDescent="0.25">
      <c r="B148" s="113"/>
      <c r="C148" s="113"/>
    </row>
    <row r="149" spans="2:10" x14ac:dyDescent="0.25">
      <c r="B149" s="113"/>
      <c r="C149" s="113"/>
    </row>
    <row r="150" spans="2:10" x14ac:dyDescent="0.25">
      <c r="B150"/>
      <c r="C150"/>
    </row>
  </sheetData>
  <mergeCells count="72">
    <mergeCell ref="D42:D44"/>
    <mergeCell ref="D46:D48"/>
    <mergeCell ref="D22:D24"/>
    <mergeCell ref="D26:D28"/>
    <mergeCell ref="A2:H2"/>
    <mergeCell ref="A4:H4"/>
    <mergeCell ref="D10:D12"/>
    <mergeCell ref="D14:D16"/>
    <mergeCell ref="A5:H5"/>
    <mergeCell ref="D30:D32"/>
    <mergeCell ref="D18:D20"/>
    <mergeCell ref="D34:D36"/>
    <mergeCell ref="D38:D40"/>
    <mergeCell ref="H9:H12"/>
    <mergeCell ref="H13:H16"/>
    <mergeCell ref="H17:H20"/>
    <mergeCell ref="D50:D52"/>
    <mergeCell ref="D54:D56"/>
    <mergeCell ref="D58:D60"/>
    <mergeCell ref="D62:D64"/>
    <mergeCell ref="D66:D68"/>
    <mergeCell ref="D70:D72"/>
    <mergeCell ref="D74:D76"/>
    <mergeCell ref="D78:D80"/>
    <mergeCell ref="D82:D84"/>
    <mergeCell ref="D86:D88"/>
    <mergeCell ref="A141:F141"/>
    <mergeCell ref="A142:F142"/>
    <mergeCell ref="A143:F143"/>
    <mergeCell ref="D90:D92"/>
    <mergeCell ref="D94:D96"/>
    <mergeCell ref="D98:D100"/>
    <mergeCell ref="D102:D104"/>
    <mergeCell ref="D126:D128"/>
    <mergeCell ref="D130:D132"/>
    <mergeCell ref="D134:D136"/>
    <mergeCell ref="D138:D140"/>
    <mergeCell ref="D106:D108"/>
    <mergeCell ref="D110:D112"/>
    <mergeCell ref="D114:D116"/>
    <mergeCell ref="D118:D120"/>
    <mergeCell ref="D122:D124"/>
    <mergeCell ref="H21:H24"/>
    <mergeCell ref="H25:H28"/>
    <mergeCell ref="H29:H32"/>
    <mergeCell ref="H33:H36"/>
    <mergeCell ref="H37:H40"/>
    <mergeCell ref="H41:H44"/>
    <mergeCell ref="H45:H48"/>
    <mergeCell ref="H49:H52"/>
    <mergeCell ref="H53:H56"/>
    <mergeCell ref="H57:H60"/>
    <mergeCell ref="H61:H64"/>
    <mergeCell ref="H65:H68"/>
    <mergeCell ref="H69:H72"/>
    <mergeCell ref="H73:H76"/>
    <mergeCell ref="H77:H80"/>
    <mergeCell ref="H81:H84"/>
    <mergeCell ref="H85:H88"/>
    <mergeCell ref="H89:H92"/>
    <mergeCell ref="H93:H96"/>
    <mergeCell ref="H97:H100"/>
    <mergeCell ref="H101:H104"/>
    <mergeCell ref="H105:H108"/>
    <mergeCell ref="H109:H112"/>
    <mergeCell ref="H113:H116"/>
    <mergeCell ref="H117:H120"/>
    <mergeCell ref="H121:H124"/>
    <mergeCell ref="H125:H128"/>
    <mergeCell ref="H129:H132"/>
    <mergeCell ref="H133:H136"/>
    <mergeCell ref="H137:H140"/>
  </mergeCells>
  <pageMargins left="0.22" right="0.18" top="0.33" bottom="0.21" header="0.17" footer="0.3"/>
  <pageSetup paperSize="9" fitToHeight="0" orientation="portrait" r:id="rId1"/>
  <headerFooter alignWithMargins="0">
    <oddFooter>Page &amp;P</oddFooter>
  </headerFooter>
  <rowBreaks count="2" manualBreakCount="2">
    <brk id="44" max="7" man="1"/>
    <brk id="84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Layout" topLeftCell="A13" zoomScaleNormal="100" zoomScaleSheetLayoutView="115" workbookViewId="0">
      <selection activeCell="A8" sqref="A8"/>
    </sheetView>
  </sheetViews>
  <sheetFormatPr defaultRowHeight="15" x14ac:dyDescent="0.25"/>
  <cols>
    <col min="1" max="1" width="11" customWidth="1"/>
    <col min="2" max="2" width="11.5703125" customWidth="1"/>
    <col min="3" max="3" width="20.85546875" customWidth="1"/>
    <col min="4" max="4" width="19.140625" customWidth="1"/>
    <col min="5" max="5" width="21.42578125" customWidth="1"/>
    <col min="6" max="6" width="12.7109375" customWidth="1"/>
    <col min="7" max="7" width="24.5703125" customWidth="1"/>
    <col min="8" max="8" width="13.140625" customWidth="1"/>
    <col min="9" max="9" width="13.7109375" bestFit="1" customWidth="1"/>
    <col min="10" max="10" width="11.140625" bestFit="1" customWidth="1"/>
    <col min="11" max="11" width="9.28515625" bestFit="1" customWidth="1"/>
  </cols>
  <sheetData>
    <row r="1" spans="1:15" ht="15.75" x14ac:dyDescent="0.25">
      <c r="A1" s="96" t="s">
        <v>152</v>
      </c>
      <c r="B1" s="96"/>
      <c r="C1" s="96"/>
      <c r="D1" s="96"/>
      <c r="E1" s="96"/>
      <c r="F1" s="96"/>
      <c r="G1" s="96"/>
      <c r="H1" s="96"/>
      <c r="I1" s="17"/>
      <c r="K1" t="s">
        <v>7</v>
      </c>
      <c r="L1">
        <v>2200</v>
      </c>
    </row>
    <row r="2" spans="1:15" ht="15.75" x14ac:dyDescent="0.25">
      <c r="A2" s="97" t="s">
        <v>151</v>
      </c>
      <c r="B2" s="97"/>
      <c r="C2" s="97"/>
      <c r="D2" s="97"/>
      <c r="E2" s="97"/>
      <c r="F2" s="97"/>
      <c r="G2" s="97"/>
      <c r="H2" s="97"/>
      <c r="I2" s="17"/>
      <c r="K2" t="s">
        <v>8</v>
      </c>
      <c r="L2">
        <v>15000</v>
      </c>
    </row>
    <row r="3" spans="1:15" x14ac:dyDescent="0.25">
      <c r="D3" s="4"/>
      <c r="E3" s="3"/>
      <c r="F3" s="10"/>
      <c r="G3" s="3"/>
      <c r="I3" s="17"/>
    </row>
    <row r="4" spans="1:15" ht="36.75" customHeight="1" x14ac:dyDescent="0.25">
      <c r="A4" s="211" t="e">
        <f>"BẢNG TỔNG HỢP 
ĐIỆN - NƯỚC SINH HOẠT KÝ TÚC XÁ KHU C &amp; K " &amp;#REF!</f>
        <v>#REF!</v>
      </c>
      <c r="B4" s="211"/>
      <c r="C4" s="211"/>
      <c r="D4" s="211"/>
      <c r="E4" s="211"/>
      <c r="F4" s="95"/>
      <c r="G4" s="95"/>
      <c r="H4" s="95"/>
      <c r="I4" s="44"/>
      <c r="J4" s="39" t="s">
        <v>31</v>
      </c>
      <c r="K4" s="39" t="s">
        <v>117</v>
      </c>
      <c r="L4" s="39" t="s">
        <v>29</v>
      </c>
      <c r="M4" s="39" t="s">
        <v>30</v>
      </c>
      <c r="N4" s="39" t="s">
        <v>115</v>
      </c>
      <c r="O4" s="39" t="s">
        <v>116</v>
      </c>
    </row>
    <row r="5" spans="1:15" x14ac:dyDescent="0.25">
      <c r="A5" s="39"/>
      <c r="B5" s="39"/>
      <c r="C5" s="39"/>
      <c r="D5" s="56" t="s">
        <v>234</v>
      </c>
      <c r="F5" s="42"/>
      <c r="H5" s="56"/>
      <c r="I5" s="56"/>
      <c r="J5" s="39" t="s">
        <v>32</v>
      </c>
      <c r="K5" s="39">
        <v>60</v>
      </c>
      <c r="L5" s="39">
        <v>76</v>
      </c>
      <c r="M5" s="39">
        <f t="shared" ref="M5:M6" si="0">L5-K5</f>
        <v>16</v>
      </c>
      <c r="N5" s="55">
        <f>SUM('so nguoi'!H14:H18)</f>
        <v>20</v>
      </c>
      <c r="O5" s="39">
        <f t="shared" ref="O5:O6" si="1">M5/N5</f>
        <v>0.8</v>
      </c>
    </row>
    <row r="6" spans="1:15" x14ac:dyDescent="0.25">
      <c r="A6" s="39"/>
      <c r="B6" s="39"/>
      <c r="C6" s="39"/>
      <c r="D6" s="56" t="s">
        <v>235</v>
      </c>
      <c r="F6" s="42"/>
      <c r="H6" s="56"/>
      <c r="I6" s="56"/>
      <c r="J6" s="39" t="s">
        <v>33</v>
      </c>
      <c r="K6" s="39">
        <v>116</v>
      </c>
      <c r="L6" s="39">
        <v>159</v>
      </c>
      <c r="M6" s="39">
        <f t="shared" si="0"/>
        <v>43</v>
      </c>
      <c r="N6" s="39">
        <f>SUM('so nguoi'!J8:J13)</f>
        <v>27</v>
      </c>
      <c r="O6" s="39">
        <f t="shared" si="1"/>
        <v>1.5925925925925926</v>
      </c>
    </row>
    <row r="7" spans="1:15" x14ac:dyDescent="0.25">
      <c r="A7" s="39"/>
      <c r="B7" s="39"/>
      <c r="C7" s="39"/>
      <c r="D7" s="39"/>
      <c r="E7" s="39"/>
    </row>
    <row r="8" spans="1:15" x14ac:dyDescent="0.25">
      <c r="A8" s="159" t="s">
        <v>145</v>
      </c>
      <c r="B8" s="159" t="s">
        <v>146</v>
      </c>
      <c r="C8" s="159" t="s">
        <v>147</v>
      </c>
      <c r="D8" s="159" t="s">
        <v>148</v>
      </c>
      <c r="E8" s="159" t="s">
        <v>121</v>
      </c>
    </row>
    <row r="9" spans="1:15" x14ac:dyDescent="0.25">
      <c r="A9" s="99">
        <v>1</v>
      </c>
      <c r="B9" s="160" t="s">
        <v>149</v>
      </c>
      <c r="C9" s="100">
        <f ca="1">'Khu C'!G132</f>
        <v>6872000</v>
      </c>
      <c r="D9" s="100">
        <f ca="1">'Khu C'!G133</f>
        <v>7376000</v>
      </c>
      <c r="E9" s="100">
        <f ca="1">D9+C9</f>
        <v>14248000</v>
      </c>
    </row>
    <row r="10" spans="1:15" x14ac:dyDescent="0.25">
      <c r="A10" s="99">
        <v>2</v>
      </c>
      <c r="B10" s="160" t="s">
        <v>150</v>
      </c>
      <c r="C10" s="100">
        <f ca="1">'Khu K'!G141</f>
        <v>2853000</v>
      </c>
      <c r="D10" s="100">
        <f ca="1">'Khu K'!G142</f>
        <v>2088000</v>
      </c>
      <c r="E10" s="100">
        <f ca="1">D10+C10</f>
        <v>4941000</v>
      </c>
    </row>
    <row r="11" spans="1:15" x14ac:dyDescent="0.25">
      <c r="A11" s="212" t="s">
        <v>121</v>
      </c>
      <c r="B11" s="213"/>
      <c r="C11" s="213"/>
      <c r="D11" s="214"/>
      <c r="E11" s="101">
        <f ca="1">E9+E10</f>
        <v>19189000</v>
      </c>
    </row>
    <row r="12" spans="1:15" x14ac:dyDescent="0.25">
      <c r="A12" s="39"/>
      <c r="B12" s="39"/>
      <c r="C12" s="39"/>
      <c r="D12" s="39"/>
      <c r="E12" s="39"/>
    </row>
    <row r="13" spans="1:15" x14ac:dyDescent="0.25">
      <c r="A13" s="39"/>
      <c r="B13" s="39"/>
      <c r="C13" s="39"/>
      <c r="D13" s="102" t="str">
        <f ca="1">" TP. Hồ Chí Minh, ngày "&amp;DAY(NOW())&amp;" tháng "&amp;MONTH(NOW())&amp;" năm "&amp;YEAR(NOW())</f>
        <v xml:space="preserve"> TP. Hồ Chí Minh, ngày 5 tháng 5 năm 2021</v>
      </c>
      <c r="E13" s="39"/>
    </row>
    <row r="14" spans="1:15" x14ac:dyDescent="0.25">
      <c r="A14" s="39"/>
      <c r="B14" s="39"/>
      <c r="C14" s="39"/>
      <c r="D14" s="39"/>
      <c r="E14" s="39"/>
    </row>
    <row r="15" spans="1:15" x14ac:dyDescent="0.25">
      <c r="A15" s="39"/>
      <c r="B15" s="39"/>
      <c r="C15" s="158" t="s">
        <v>15</v>
      </c>
      <c r="D15" s="39"/>
      <c r="E15" s="161" t="s">
        <v>14</v>
      </c>
    </row>
    <row r="16" spans="1:15" x14ac:dyDescent="0.25">
      <c r="A16" s="39"/>
      <c r="B16" s="39"/>
      <c r="C16" s="75"/>
      <c r="D16" s="39"/>
      <c r="E16" s="98"/>
    </row>
    <row r="17" spans="1:5" x14ac:dyDescent="0.25">
      <c r="A17" s="39"/>
      <c r="B17" s="39"/>
      <c r="C17" s="75"/>
      <c r="D17" s="39"/>
      <c r="E17" s="98"/>
    </row>
    <row r="18" spans="1:5" x14ac:dyDescent="0.25">
      <c r="A18" s="39"/>
      <c r="B18" s="39"/>
      <c r="C18" s="75"/>
      <c r="D18" s="39"/>
      <c r="E18" s="98"/>
    </row>
    <row r="19" spans="1:5" x14ac:dyDescent="0.25">
      <c r="C19" s="75"/>
      <c r="D19" s="39"/>
      <c r="E19" s="98"/>
    </row>
    <row r="20" spans="1:5" x14ac:dyDescent="0.25">
      <c r="C20" s="75"/>
      <c r="D20" s="39"/>
      <c r="E20" s="98"/>
    </row>
    <row r="21" spans="1:5" x14ac:dyDescent="0.25">
      <c r="C21" s="158" t="s">
        <v>236</v>
      </c>
      <c r="D21" s="39"/>
      <c r="E21" s="161" t="s">
        <v>144</v>
      </c>
    </row>
    <row r="24" spans="1:5" x14ac:dyDescent="0.25">
      <c r="C24" s="11"/>
    </row>
  </sheetData>
  <mergeCells count="2">
    <mergeCell ref="A4:E4"/>
    <mergeCell ref="A11:D11"/>
  </mergeCells>
  <pageMargins left="0.97" right="0.7" top="0.75" bottom="0.75" header="0.3" footer="0.3"/>
  <pageSetup paperSize="11" scale="94" orientation="landscape" r:id="rId1"/>
  <colBreaks count="1" manualBreakCount="1">
    <brk id="5" max="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so nguoi</vt:lpstr>
      <vt:lpstr>Khu C</vt:lpstr>
      <vt:lpstr>Khu C108-C214</vt:lpstr>
      <vt:lpstr>Khu K</vt:lpstr>
      <vt:lpstr>TỔNG HỢP</vt:lpstr>
      <vt:lpstr>Sheet1</vt:lpstr>
      <vt:lpstr>'Khu C'!Print_Area</vt:lpstr>
      <vt:lpstr>'Khu C108-C214'!Print_Area</vt:lpstr>
      <vt:lpstr>'Khu K'!Print_Area</vt:lpstr>
      <vt:lpstr>'TỔNG HỢP'!Print_Area</vt:lpstr>
      <vt:lpstr>'Khu C'!Print_Titles</vt:lpstr>
      <vt:lpstr>'Khu C108-C214'!Print_Titles</vt:lpstr>
      <vt:lpstr>'Khu K'!Print_Titles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NGOINHAXANH</dc:creator>
  <cp:lastModifiedBy>THINH</cp:lastModifiedBy>
  <cp:lastPrinted>2021-05-05T09:14:56Z</cp:lastPrinted>
  <dcterms:created xsi:type="dcterms:W3CDTF">2015-11-25T00:57:48Z</dcterms:created>
  <dcterms:modified xsi:type="dcterms:W3CDTF">2021-05-05T09:36:52Z</dcterms:modified>
</cp:coreProperties>
</file>