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0815" windowHeight="6675" firstSheet="1" activeTab="1"/>
  </bookViews>
  <sheets>
    <sheet name="so nguoi" sheetId="9" state="hidden" r:id="rId1"/>
    <sheet name="Khu C" sheetId="12" r:id="rId2"/>
    <sheet name="Khu C108-C214" sheetId="8" state="hidden" r:id="rId3"/>
    <sheet name="Bản chia C" sheetId="14" state="hidden" r:id="rId4"/>
    <sheet name="Khu K" sheetId="13" r:id="rId5"/>
    <sheet name="bản chia K" sheetId="16" state="hidden" r:id="rId6"/>
    <sheet name="Khu K107-K211" sheetId="7" state="hidden" r:id="rId7"/>
    <sheet name="TỔNG HỢP" sheetId="11" state="hidden" r:id="rId8"/>
    <sheet name="Khu N" sheetId="10" state="hidden" r:id="rId9"/>
  </sheets>
  <definedNames>
    <definedName name="_xlnm._FilterDatabase" localSheetId="1" hidden="1">'Khu C'!$A$8:$O$146</definedName>
    <definedName name="_xlnm.Print_Area" localSheetId="3">'Bản chia C'!$A$1:$G$151</definedName>
    <definedName name="_xlnm.Print_Area" localSheetId="1">'Khu C'!$A$1:$H$151</definedName>
    <definedName name="_xlnm.Print_Area" localSheetId="2">'Khu C108-C214'!$A$1:$H$66</definedName>
    <definedName name="_xlnm.Print_Area" localSheetId="4">'Khu K'!$A$1:$H$152</definedName>
    <definedName name="_xlnm.Print_Area" localSheetId="6">'Khu K107-K211'!$A$1:$H$96</definedName>
    <definedName name="_xlnm.Print_Area" localSheetId="7">'TỔNG HỢP'!$A$1:$P$23</definedName>
    <definedName name="_xlnm.Print_Titles" localSheetId="1">'Khu C'!$8:$8</definedName>
    <definedName name="_xlnm.Print_Titles" localSheetId="2">'Khu C108-C214'!$8:$8</definedName>
    <definedName name="_xlnm.Print_Titles" localSheetId="4">'Khu K'!$8:$8</definedName>
    <definedName name="_xlnm.Print_Titles" localSheetId="6">'Khu K107-K211'!$8:$8</definedName>
  </definedNames>
  <calcPr calcId="152511"/>
</workbook>
</file>

<file path=xl/calcChain.xml><?xml version="1.0" encoding="utf-8"?>
<calcChain xmlns="http://schemas.openxmlformats.org/spreadsheetml/2006/main">
  <c r="E31" i="12" l="1"/>
  <c r="F31" i="12"/>
  <c r="B20" i="13"/>
  <c r="B16" i="13"/>
  <c r="C134" i="12"/>
  <c r="C65" i="12"/>
  <c r="C44" i="12"/>
  <c r="B125" i="12" l="1"/>
  <c r="B119" i="12"/>
  <c r="B113" i="12"/>
  <c r="B107" i="12"/>
  <c r="B101" i="12"/>
  <c r="B92" i="12"/>
  <c r="B83" i="12"/>
  <c r="B77" i="12"/>
  <c r="B71" i="12"/>
  <c r="B50" i="12"/>
  <c r="B44" i="12"/>
  <c r="B38" i="12"/>
  <c r="B29" i="12"/>
  <c r="B23" i="12"/>
  <c r="B14" i="12"/>
  <c r="B44" i="13" l="1"/>
  <c r="B32" i="13"/>
  <c r="B36" i="13" s="1"/>
  <c r="B40" i="13" s="1"/>
  <c r="C77" i="12"/>
  <c r="B52" i="13" l="1"/>
  <c r="B48" i="13"/>
  <c r="F24" i="9" l="1"/>
  <c r="C52" i="13" l="1"/>
  <c r="C16" i="13" l="1"/>
  <c r="C83" i="12"/>
  <c r="C71" i="12" l="1"/>
  <c r="C32" i="13" l="1"/>
  <c r="C36" i="13" s="1"/>
  <c r="C20" i="13"/>
  <c r="D24" i="9"/>
  <c r="B24" i="9"/>
  <c r="C44" i="13" l="1"/>
  <c r="C48" i="13"/>
  <c r="C135" i="12" l="1"/>
  <c r="C137" i="12"/>
  <c r="C138" i="12"/>
  <c r="C92" i="12" l="1"/>
  <c r="E26" i="13" l="1"/>
  <c r="C40" i="13" l="1"/>
  <c r="D138" i="16" l="1"/>
  <c r="D134" i="16"/>
  <c r="D130" i="16"/>
  <c r="D126" i="16"/>
  <c r="D122" i="16"/>
  <c r="D118" i="16"/>
  <c r="D114" i="16"/>
  <c r="D110" i="16"/>
  <c r="D106" i="16"/>
  <c r="D102" i="16"/>
  <c r="D98" i="16"/>
  <c r="D94" i="16"/>
  <c r="D90" i="16"/>
  <c r="D86" i="16"/>
  <c r="D82" i="16"/>
  <c r="D78" i="16"/>
  <c r="D74" i="16"/>
  <c r="D70" i="16"/>
  <c r="D66" i="16"/>
  <c r="D62" i="16"/>
  <c r="D58" i="16"/>
  <c r="D54" i="16"/>
  <c r="D50" i="16"/>
  <c r="D46" i="16"/>
  <c r="D42" i="16"/>
  <c r="D38" i="16"/>
  <c r="D34" i="16"/>
  <c r="D30" i="16"/>
  <c r="D26" i="16"/>
  <c r="D22" i="16"/>
  <c r="D18" i="16"/>
  <c r="D14" i="16"/>
  <c r="D10" i="16"/>
  <c r="D14" i="13"/>
  <c r="D10" i="13"/>
  <c r="C119" i="12" l="1"/>
  <c r="D138" i="13" l="1"/>
  <c r="D134" i="13"/>
  <c r="D130" i="13"/>
  <c r="D126" i="13"/>
  <c r="D122" i="13"/>
  <c r="D118" i="13"/>
  <c r="D114" i="13"/>
  <c r="D110" i="13"/>
  <c r="D106" i="13"/>
  <c r="D102" i="13"/>
  <c r="D98" i="13"/>
  <c r="D94" i="13"/>
  <c r="D90" i="13"/>
  <c r="D86" i="13"/>
  <c r="D82" i="13"/>
  <c r="D78" i="13"/>
  <c r="D74" i="13"/>
  <c r="D70" i="13"/>
  <c r="D66" i="13"/>
  <c r="E140" i="13"/>
  <c r="E139" i="13"/>
  <c r="F139" i="13" s="1"/>
  <c r="E138" i="13"/>
  <c r="F138" i="13" s="1"/>
  <c r="E136" i="13"/>
  <c r="E135" i="13"/>
  <c r="F135" i="13" s="1"/>
  <c r="E134" i="13"/>
  <c r="F134" i="13" s="1"/>
  <c r="E132" i="13"/>
  <c r="E131" i="13"/>
  <c r="F131" i="13" s="1"/>
  <c r="E130" i="13"/>
  <c r="F130" i="13" s="1"/>
  <c r="E128" i="13"/>
  <c r="E127" i="13"/>
  <c r="F127" i="13" s="1"/>
  <c r="E126" i="13"/>
  <c r="F126" i="13" s="1"/>
  <c r="E124" i="13"/>
  <c r="E123" i="13"/>
  <c r="F123" i="13" s="1"/>
  <c r="E122" i="13"/>
  <c r="F122" i="13" s="1"/>
  <c r="E120" i="13"/>
  <c r="E119" i="13"/>
  <c r="F119" i="13" s="1"/>
  <c r="E118" i="13"/>
  <c r="F118" i="13" s="1"/>
  <c r="E116" i="13"/>
  <c r="E115" i="13"/>
  <c r="F115" i="13" s="1"/>
  <c r="E114" i="13"/>
  <c r="F114" i="13" s="1"/>
  <c r="E112" i="13"/>
  <c r="E111" i="13"/>
  <c r="F111" i="13" s="1"/>
  <c r="E110" i="13"/>
  <c r="F110" i="13" s="1"/>
  <c r="E108" i="13"/>
  <c r="E107" i="13"/>
  <c r="F107" i="13" s="1"/>
  <c r="E106" i="13"/>
  <c r="F106" i="13" s="1"/>
  <c r="D62" i="13"/>
  <c r="D58" i="13"/>
  <c r="D54" i="13"/>
  <c r="D50" i="13"/>
  <c r="G119" i="13" l="1"/>
  <c r="E119" i="16"/>
  <c r="F119" i="16" s="1"/>
  <c r="G135" i="13"/>
  <c r="E135" i="16"/>
  <c r="F135" i="16" s="1"/>
  <c r="G115" i="13"/>
  <c r="E115" i="16"/>
  <c r="F115" i="16" s="1"/>
  <c r="G131" i="13"/>
  <c r="E131" i="16"/>
  <c r="F131" i="16" s="1"/>
  <c r="G106" i="13"/>
  <c r="E106" i="16"/>
  <c r="F106" i="16" s="1"/>
  <c r="G111" i="13"/>
  <c r="E111" i="16"/>
  <c r="F111" i="16" s="1"/>
  <c r="G122" i="13"/>
  <c r="E122" i="16"/>
  <c r="F122" i="16" s="1"/>
  <c r="G127" i="13"/>
  <c r="E127" i="16"/>
  <c r="F127" i="16" s="1"/>
  <c r="G138" i="13"/>
  <c r="E138" i="16"/>
  <c r="F138" i="16" s="1"/>
  <c r="G114" i="13"/>
  <c r="E114" i="16"/>
  <c r="F114" i="16" s="1"/>
  <c r="G130" i="13"/>
  <c r="E130" i="16"/>
  <c r="F130" i="16" s="1"/>
  <c r="G110" i="13"/>
  <c r="E110" i="16"/>
  <c r="F110" i="16" s="1"/>
  <c r="G126" i="13"/>
  <c r="E126" i="16"/>
  <c r="F126" i="16" s="1"/>
  <c r="G107" i="13"/>
  <c r="E107" i="16"/>
  <c r="F107" i="16" s="1"/>
  <c r="G118" i="13"/>
  <c r="E118" i="16"/>
  <c r="F118" i="16" s="1"/>
  <c r="G123" i="13"/>
  <c r="E123" i="16"/>
  <c r="F123" i="16" s="1"/>
  <c r="G134" i="13"/>
  <c r="E134" i="16"/>
  <c r="F134" i="16" s="1"/>
  <c r="G139" i="13"/>
  <c r="E139" i="16"/>
  <c r="F139" i="16" s="1"/>
  <c r="E104" i="13"/>
  <c r="E103" i="13"/>
  <c r="F103" i="13" s="1"/>
  <c r="E102" i="13"/>
  <c r="F102" i="13" s="1"/>
  <c r="I101" i="13"/>
  <c r="E100" i="13"/>
  <c r="E99" i="13"/>
  <c r="F99" i="13" s="1"/>
  <c r="E98" i="13"/>
  <c r="F98" i="13" s="1"/>
  <c r="I97" i="13"/>
  <c r="E96" i="13"/>
  <c r="E95" i="13"/>
  <c r="F95" i="13" s="1"/>
  <c r="E94" i="13"/>
  <c r="F94" i="13" s="1"/>
  <c r="I93" i="13"/>
  <c r="E92" i="13"/>
  <c r="E91" i="13"/>
  <c r="F91" i="13" s="1"/>
  <c r="E90" i="13"/>
  <c r="F90" i="13" s="1"/>
  <c r="I89" i="13"/>
  <c r="E88" i="13"/>
  <c r="E87" i="13"/>
  <c r="F87" i="13" s="1"/>
  <c r="E86" i="13"/>
  <c r="F86" i="13" s="1"/>
  <c r="I85" i="13"/>
  <c r="E84" i="13"/>
  <c r="E83" i="13"/>
  <c r="F83" i="13" s="1"/>
  <c r="E82" i="13"/>
  <c r="F82" i="13" s="1"/>
  <c r="I81" i="13"/>
  <c r="E80" i="13"/>
  <c r="E79" i="13"/>
  <c r="F79" i="13" s="1"/>
  <c r="E78" i="13"/>
  <c r="F78" i="13" s="1"/>
  <c r="I77" i="13"/>
  <c r="E76" i="13"/>
  <c r="E75" i="13"/>
  <c r="F75" i="13" s="1"/>
  <c r="E74" i="13"/>
  <c r="F74" i="13" s="1"/>
  <c r="I73" i="13"/>
  <c r="E72" i="13"/>
  <c r="E71" i="13"/>
  <c r="F71" i="13" s="1"/>
  <c r="E70" i="13"/>
  <c r="F70" i="13" s="1"/>
  <c r="I69" i="13"/>
  <c r="E68" i="13"/>
  <c r="E67" i="13"/>
  <c r="F67" i="13" s="1"/>
  <c r="E66" i="13"/>
  <c r="F66" i="13" s="1"/>
  <c r="I65" i="13"/>
  <c r="E64" i="13"/>
  <c r="E63" i="13"/>
  <c r="F63" i="13" s="1"/>
  <c r="E62" i="13"/>
  <c r="F62" i="13" s="1"/>
  <c r="I61" i="13"/>
  <c r="E60" i="13"/>
  <c r="E59" i="13"/>
  <c r="F59" i="13" s="1"/>
  <c r="E58" i="13"/>
  <c r="F58" i="13" s="1"/>
  <c r="I57" i="13"/>
  <c r="E56" i="13"/>
  <c r="E55" i="13"/>
  <c r="F55" i="13" s="1"/>
  <c r="E54" i="13"/>
  <c r="F54" i="13" s="1"/>
  <c r="I53" i="13"/>
  <c r="E52" i="13"/>
  <c r="E51" i="13"/>
  <c r="F51" i="13" s="1"/>
  <c r="E50" i="13"/>
  <c r="F50" i="13" s="1"/>
  <c r="I49" i="13"/>
  <c r="E48" i="13"/>
  <c r="E47" i="13"/>
  <c r="F47" i="13" s="1"/>
  <c r="E46" i="13"/>
  <c r="F46" i="13" s="1"/>
  <c r="D46" i="13"/>
  <c r="I45" i="13"/>
  <c r="E44" i="13"/>
  <c r="E43" i="13"/>
  <c r="F43" i="13" s="1"/>
  <c r="E42" i="13"/>
  <c r="F42" i="13" s="1"/>
  <c r="D42" i="13"/>
  <c r="I41" i="13"/>
  <c r="E40" i="13"/>
  <c r="E39" i="13"/>
  <c r="F39" i="13" s="1"/>
  <c r="E38" i="13"/>
  <c r="F38" i="13" s="1"/>
  <c r="D38" i="13"/>
  <c r="I37" i="13"/>
  <c r="E36" i="13"/>
  <c r="E35" i="13"/>
  <c r="F35" i="13" s="1"/>
  <c r="G35" i="13" s="1"/>
  <c r="E34" i="13"/>
  <c r="F34" i="13" s="1"/>
  <c r="D34" i="13"/>
  <c r="I33" i="13"/>
  <c r="G94" i="13" l="1"/>
  <c r="E94" i="16"/>
  <c r="F94" i="16" s="1"/>
  <c r="G98" i="13"/>
  <c r="E98" i="16"/>
  <c r="F98" i="16" s="1"/>
  <c r="G102" i="13"/>
  <c r="E102" i="16"/>
  <c r="F102" i="16" s="1"/>
  <c r="G95" i="13"/>
  <c r="E95" i="16"/>
  <c r="F95" i="16" s="1"/>
  <c r="G99" i="13"/>
  <c r="E99" i="16"/>
  <c r="F99" i="16" s="1"/>
  <c r="G103" i="13"/>
  <c r="E103" i="16"/>
  <c r="F103" i="16" s="1"/>
  <c r="G34" i="13"/>
  <c r="E34" i="16"/>
  <c r="F34" i="16" s="1"/>
  <c r="G39" i="13"/>
  <c r="E39" i="16"/>
  <c r="G42" i="13"/>
  <c r="E42" i="16"/>
  <c r="F42" i="16" s="1"/>
  <c r="G47" i="13"/>
  <c r="E47" i="16"/>
  <c r="F47" i="16" s="1"/>
  <c r="G51" i="13"/>
  <c r="E51" i="16"/>
  <c r="G55" i="13"/>
  <c r="E55" i="16"/>
  <c r="F55" i="16" s="1"/>
  <c r="G59" i="13"/>
  <c r="E59" i="16"/>
  <c r="F59" i="16" s="1"/>
  <c r="G63" i="13"/>
  <c r="E63" i="16"/>
  <c r="F63" i="16" s="1"/>
  <c r="G67" i="13"/>
  <c r="E67" i="16"/>
  <c r="F67" i="16" s="1"/>
  <c r="G71" i="13"/>
  <c r="E71" i="16"/>
  <c r="F71" i="16" s="1"/>
  <c r="G75" i="13"/>
  <c r="E75" i="16"/>
  <c r="F75" i="16" s="1"/>
  <c r="G79" i="13"/>
  <c r="E79" i="16"/>
  <c r="F79" i="16" s="1"/>
  <c r="G83" i="13"/>
  <c r="E83" i="16"/>
  <c r="F83" i="16" s="1"/>
  <c r="G87" i="13"/>
  <c r="E87" i="16"/>
  <c r="F87" i="16" s="1"/>
  <c r="G91" i="13"/>
  <c r="E91" i="16"/>
  <c r="F91" i="16" s="1"/>
  <c r="E35" i="16"/>
  <c r="F35" i="16" s="1"/>
  <c r="G38" i="13"/>
  <c r="E38" i="16"/>
  <c r="G43" i="13"/>
  <c r="E43" i="16"/>
  <c r="F43" i="16" s="1"/>
  <c r="G46" i="13"/>
  <c r="E46" i="16"/>
  <c r="F46" i="16" s="1"/>
  <c r="G50" i="13"/>
  <c r="E50" i="16"/>
  <c r="G54" i="13"/>
  <c r="E54" i="16"/>
  <c r="F54" i="16" s="1"/>
  <c r="G58" i="13"/>
  <c r="E58" i="16"/>
  <c r="F58" i="16" s="1"/>
  <c r="G62" i="13"/>
  <c r="E62" i="16"/>
  <c r="F62" i="16" s="1"/>
  <c r="G66" i="13"/>
  <c r="E66" i="16"/>
  <c r="F66" i="16" s="1"/>
  <c r="G70" i="13"/>
  <c r="E70" i="16"/>
  <c r="F70" i="16" s="1"/>
  <c r="G74" i="13"/>
  <c r="E74" i="16"/>
  <c r="F74" i="16" s="1"/>
  <c r="G78" i="13"/>
  <c r="E78" i="16"/>
  <c r="F78" i="16" s="1"/>
  <c r="G82" i="13"/>
  <c r="E82" i="16"/>
  <c r="F82" i="16" s="1"/>
  <c r="G86" i="13"/>
  <c r="E86" i="16"/>
  <c r="F86" i="16" s="1"/>
  <c r="G90" i="13"/>
  <c r="E90" i="16"/>
  <c r="F90" i="16" s="1"/>
  <c r="D10" i="14" l="1"/>
  <c r="D13" i="14"/>
  <c r="D16" i="14"/>
  <c r="A4" i="11"/>
  <c r="C125" i="12" l="1"/>
  <c r="N8" i="13" l="1"/>
  <c r="A4" i="16" l="1"/>
  <c r="C51" i="16"/>
  <c r="B51" i="16"/>
  <c r="N7" i="13" l="1"/>
  <c r="H24" i="9"/>
  <c r="C44" i="7" l="1"/>
  <c r="B44" i="7"/>
  <c r="D10" i="12" l="1"/>
  <c r="J24" i="9" l="1"/>
  <c r="L24" i="9"/>
  <c r="N24" i="9"/>
  <c r="E56" i="12" l="1"/>
  <c r="E55" i="12"/>
  <c r="C113" i="12"/>
  <c r="A4" i="14" l="1"/>
  <c r="I126" i="14" l="1"/>
  <c r="I129" i="14"/>
  <c r="I131" i="14"/>
  <c r="I133" i="14"/>
  <c r="I136" i="14"/>
  <c r="I139" i="14"/>
  <c r="H129" i="14"/>
  <c r="I12" i="14"/>
  <c r="I15" i="14"/>
  <c r="I18" i="14"/>
  <c r="I21" i="14"/>
  <c r="I24" i="14"/>
  <c r="I27" i="14"/>
  <c r="I30" i="14"/>
  <c r="I33" i="14"/>
  <c r="I36" i="14"/>
  <c r="I39" i="14"/>
  <c r="I42" i="14"/>
  <c r="I45" i="14"/>
  <c r="I48" i="14"/>
  <c r="I51" i="14"/>
  <c r="I54" i="14"/>
  <c r="I57" i="14"/>
  <c r="I60" i="14"/>
  <c r="I63" i="14"/>
  <c r="I66" i="14"/>
  <c r="I69" i="14"/>
  <c r="I72" i="14"/>
  <c r="I75" i="14"/>
  <c r="I78" i="14"/>
  <c r="I81" i="14"/>
  <c r="I84" i="14"/>
  <c r="I87" i="14"/>
  <c r="I90" i="14"/>
  <c r="I93" i="14"/>
  <c r="I96" i="14"/>
  <c r="I99" i="14"/>
  <c r="I102" i="14"/>
  <c r="I105" i="14"/>
  <c r="I108" i="14"/>
  <c r="I111" i="14"/>
  <c r="I114" i="14"/>
  <c r="I117" i="14"/>
  <c r="I120" i="14"/>
  <c r="I123" i="14"/>
  <c r="H133" i="14"/>
  <c r="H136" i="14"/>
  <c r="H12" i="14"/>
  <c r="H15" i="14"/>
  <c r="H18" i="14"/>
  <c r="H21" i="14"/>
  <c r="H24" i="14"/>
  <c r="H27" i="14"/>
  <c r="H30" i="14"/>
  <c r="H33" i="14"/>
  <c r="H36" i="14"/>
  <c r="H39" i="14"/>
  <c r="H42" i="14"/>
  <c r="H45" i="14"/>
  <c r="H48" i="14"/>
  <c r="H51" i="14"/>
  <c r="H54" i="14"/>
  <c r="H57" i="14"/>
  <c r="H60" i="14"/>
  <c r="H63" i="14"/>
  <c r="H66" i="14"/>
  <c r="H69" i="14"/>
  <c r="H72" i="14"/>
  <c r="H75" i="14"/>
  <c r="H78" i="14"/>
  <c r="H81" i="14"/>
  <c r="H84" i="14"/>
  <c r="H87" i="14"/>
  <c r="H90" i="14"/>
  <c r="H93" i="14"/>
  <c r="H96" i="14"/>
  <c r="H99" i="14"/>
  <c r="H102" i="14"/>
  <c r="H105" i="14"/>
  <c r="H108" i="14"/>
  <c r="H111" i="14"/>
  <c r="H114" i="14"/>
  <c r="H117" i="14"/>
  <c r="H120" i="14"/>
  <c r="H123" i="14"/>
  <c r="H126" i="14"/>
  <c r="H131" i="14"/>
  <c r="J131" i="14" s="1"/>
  <c r="J136" i="14" l="1"/>
  <c r="J126" i="14"/>
  <c r="J117" i="14"/>
  <c r="J105" i="14"/>
  <c r="J93" i="14"/>
  <c r="J81" i="14"/>
  <c r="J69" i="14"/>
  <c r="J57" i="14"/>
  <c r="J45" i="14"/>
  <c r="J33" i="14"/>
  <c r="J21" i="14"/>
  <c r="J114" i="14"/>
  <c r="J102" i="14"/>
  <c r="J90" i="14"/>
  <c r="J78" i="14"/>
  <c r="J66" i="14"/>
  <c r="J54" i="14"/>
  <c r="J42" i="14"/>
  <c r="J30" i="14"/>
  <c r="J18" i="14"/>
  <c r="J133" i="14"/>
  <c r="J123" i="14"/>
  <c r="J111" i="14"/>
  <c r="J99" i="14"/>
  <c r="J87" i="14"/>
  <c r="J75" i="14"/>
  <c r="J63" i="14"/>
  <c r="J51" i="14"/>
  <c r="J39" i="14"/>
  <c r="J27" i="14"/>
  <c r="J15" i="14"/>
  <c r="J120" i="14"/>
  <c r="J108" i="14"/>
  <c r="J96" i="14"/>
  <c r="J84" i="14"/>
  <c r="J72" i="14"/>
  <c r="J60" i="14"/>
  <c r="J48" i="14"/>
  <c r="J36" i="14"/>
  <c r="J24" i="14"/>
  <c r="J129" i="14"/>
  <c r="D28" i="12"/>
  <c r="D25" i="12"/>
  <c r="C141" i="14" l="1"/>
  <c r="B141" i="14"/>
  <c r="D140" i="14"/>
  <c r="C140" i="14"/>
  <c r="B140" i="14"/>
  <c r="D137" i="14"/>
  <c r="C138" i="14"/>
  <c r="B138" i="14"/>
  <c r="D134" i="14"/>
  <c r="C134" i="14"/>
  <c r="E138" i="12" l="1"/>
  <c r="E137" i="12"/>
  <c r="D137" i="12"/>
  <c r="F138" i="12" l="1"/>
  <c r="E138" i="14" s="1"/>
  <c r="F138" i="14" s="1"/>
  <c r="F137" i="12"/>
  <c r="E140" i="12"/>
  <c r="D140" i="12"/>
  <c r="G138" i="12" l="1"/>
  <c r="I138" i="14" s="1"/>
  <c r="G138" i="14"/>
  <c r="H138" i="14"/>
  <c r="G137" i="12"/>
  <c r="E137" i="14"/>
  <c r="F140" i="12"/>
  <c r="E141" i="12"/>
  <c r="F141" i="12" s="1"/>
  <c r="D106" i="12"/>
  <c r="J138" i="14" l="1"/>
  <c r="F137" i="14"/>
  <c r="H137" i="14" s="1"/>
  <c r="I137" i="14"/>
  <c r="H136" i="12"/>
  <c r="G140" i="12"/>
  <c r="E140" i="14"/>
  <c r="F140" i="14" s="1"/>
  <c r="E132" i="12"/>
  <c r="F132" i="12" s="1"/>
  <c r="G136" i="14" l="1"/>
  <c r="G137" i="14"/>
  <c r="J137" i="14"/>
  <c r="G132" i="12"/>
  <c r="E132" i="14"/>
  <c r="F132" i="14" s="1"/>
  <c r="G141" i="12"/>
  <c r="H139" i="12" s="1"/>
  <c r="E141" i="14"/>
  <c r="G140" i="14"/>
  <c r="E130" i="12"/>
  <c r="F130" i="12" s="1"/>
  <c r="E130" i="14" s="1"/>
  <c r="F130" i="14" s="1"/>
  <c r="F141" i="14" l="1"/>
  <c r="G141" i="14" s="1"/>
  <c r="G129" i="14"/>
  <c r="H130" i="14"/>
  <c r="H131" i="12"/>
  <c r="I132" i="14"/>
  <c r="G130" i="12"/>
  <c r="L53" i="12"/>
  <c r="L52" i="12"/>
  <c r="D124" i="14"/>
  <c r="D127" i="14"/>
  <c r="D121" i="14"/>
  <c r="D118" i="14"/>
  <c r="D115" i="14"/>
  <c r="D85" i="14"/>
  <c r="G139" i="14" l="1"/>
  <c r="H129" i="12"/>
  <c r="I130" i="14"/>
  <c r="J130" i="14" s="1"/>
  <c r="G131" i="14"/>
  <c r="H132" i="14"/>
  <c r="J132" i="14" s="1"/>
  <c r="E127" i="12"/>
  <c r="F127" i="12" s="1"/>
  <c r="D127" i="12"/>
  <c r="E128" i="12"/>
  <c r="E124" i="12"/>
  <c r="F124" i="12" s="1"/>
  <c r="D124" i="12"/>
  <c r="E122" i="12"/>
  <c r="E121" i="12"/>
  <c r="F121" i="12" s="1"/>
  <c r="D121" i="12"/>
  <c r="E118" i="12"/>
  <c r="F118" i="12" s="1"/>
  <c r="D118" i="12"/>
  <c r="E116" i="12"/>
  <c r="E115" i="12"/>
  <c r="F115" i="12" s="1"/>
  <c r="D115" i="12"/>
  <c r="E85" i="12"/>
  <c r="F85" i="12" s="1"/>
  <c r="D85" i="12"/>
  <c r="J71" i="12"/>
  <c r="J70" i="12"/>
  <c r="E86" i="12"/>
  <c r="F86" i="12" s="1"/>
  <c r="E86" i="14" s="1"/>
  <c r="F86" i="14" s="1"/>
  <c r="D134" i="12"/>
  <c r="H86" i="14" l="1"/>
  <c r="G115" i="12"/>
  <c r="I115" i="14" s="1"/>
  <c r="E115" i="14"/>
  <c r="F115" i="14" s="1"/>
  <c r="G118" i="12"/>
  <c r="I118" i="14" s="1"/>
  <c r="E118" i="14"/>
  <c r="G124" i="12"/>
  <c r="I124" i="14" s="1"/>
  <c r="E124" i="14"/>
  <c r="F124" i="14" s="1"/>
  <c r="G127" i="12"/>
  <c r="I127" i="14" s="1"/>
  <c r="E127" i="14"/>
  <c r="F127" i="14" s="1"/>
  <c r="G85" i="12"/>
  <c r="I85" i="14" s="1"/>
  <c r="E85" i="14"/>
  <c r="F85" i="14" s="1"/>
  <c r="G121" i="12"/>
  <c r="I121" i="14" s="1"/>
  <c r="E121" i="14"/>
  <c r="E125" i="12"/>
  <c r="F128" i="12"/>
  <c r="E119" i="12"/>
  <c r="F119" i="12" s="1"/>
  <c r="F122" i="12"/>
  <c r="F125" i="12"/>
  <c r="F116" i="12"/>
  <c r="C14" i="12"/>
  <c r="F118" i="14" l="1"/>
  <c r="H118" i="14" s="1"/>
  <c r="J118" i="14" s="1"/>
  <c r="F121" i="14"/>
  <c r="H121" i="14" s="1"/>
  <c r="J121" i="14" s="1"/>
  <c r="H124" i="14"/>
  <c r="J124" i="14" s="1"/>
  <c r="H115" i="14"/>
  <c r="J115" i="14" s="1"/>
  <c r="H127" i="14"/>
  <c r="J127" i="14" s="1"/>
  <c r="G84" i="14"/>
  <c r="H85" i="14"/>
  <c r="J85" i="14" s="1"/>
  <c r="G122" i="12"/>
  <c r="E122" i="14"/>
  <c r="G119" i="12"/>
  <c r="E119" i="14"/>
  <c r="G128" i="12"/>
  <c r="E128" i="14"/>
  <c r="F128" i="14" s="1"/>
  <c r="G116" i="12"/>
  <c r="E116" i="14"/>
  <c r="G125" i="12"/>
  <c r="E125" i="14"/>
  <c r="E134" i="12"/>
  <c r="E135" i="12"/>
  <c r="F135" i="12" l="1"/>
  <c r="E135" i="14" s="1"/>
  <c r="F135" i="14" s="1"/>
  <c r="F125" i="14"/>
  <c r="G123" i="14" s="1"/>
  <c r="F116" i="14"/>
  <c r="G114" i="14" s="1"/>
  <c r="G126" i="14"/>
  <c r="F119" i="14"/>
  <c r="G117" i="14" s="1"/>
  <c r="F122" i="14"/>
  <c r="G120" i="14" s="1"/>
  <c r="I119" i="14"/>
  <c r="H117" i="12"/>
  <c r="H123" i="12"/>
  <c r="I125" i="14"/>
  <c r="H126" i="12"/>
  <c r="I128" i="14"/>
  <c r="H120" i="12"/>
  <c r="I122" i="14"/>
  <c r="H114" i="12"/>
  <c r="I116" i="14"/>
  <c r="F134" i="12"/>
  <c r="E134" i="14" s="1"/>
  <c r="F134" i="14" s="1"/>
  <c r="E112" i="12"/>
  <c r="F112" i="12" s="1"/>
  <c r="E112" i="14" s="1"/>
  <c r="F112" i="14" s="1"/>
  <c r="D112" i="12"/>
  <c r="E110" i="12"/>
  <c r="E109" i="12"/>
  <c r="F109" i="12" s="1"/>
  <c r="E109" i="14" s="1"/>
  <c r="F109" i="14" s="1"/>
  <c r="D109" i="12"/>
  <c r="C107" i="12"/>
  <c r="E106" i="12"/>
  <c r="F106" i="12" s="1"/>
  <c r="E106" i="14" s="1"/>
  <c r="F106" i="14" s="1"/>
  <c r="E104" i="12"/>
  <c r="E103" i="12"/>
  <c r="F103" i="12" s="1"/>
  <c r="E103" i="14" s="1"/>
  <c r="F103" i="14" s="1"/>
  <c r="D103" i="12"/>
  <c r="C101" i="12"/>
  <c r="E100" i="12"/>
  <c r="F100" i="12" s="1"/>
  <c r="E100" i="14" s="1"/>
  <c r="F100" i="14" s="1"/>
  <c r="D100" i="12"/>
  <c r="E98" i="12"/>
  <c r="E97" i="12"/>
  <c r="F97" i="12" s="1"/>
  <c r="E97" i="14" s="1"/>
  <c r="F97" i="14" s="1"/>
  <c r="D97" i="12"/>
  <c r="E95" i="12"/>
  <c r="F95" i="12" s="1"/>
  <c r="E95" i="14" s="1"/>
  <c r="F95" i="14" s="1"/>
  <c r="E94" i="12"/>
  <c r="F94" i="12" s="1"/>
  <c r="E94" i="14" s="1"/>
  <c r="F94" i="14" s="1"/>
  <c r="D94" i="12"/>
  <c r="E91" i="12"/>
  <c r="F91" i="12" s="1"/>
  <c r="E91" i="14" s="1"/>
  <c r="F91" i="14" s="1"/>
  <c r="D91" i="12"/>
  <c r="E89" i="12"/>
  <c r="E88" i="12"/>
  <c r="F88" i="12" s="1"/>
  <c r="E88" i="14" s="1"/>
  <c r="F88" i="14" s="1"/>
  <c r="D88" i="12"/>
  <c r="E82" i="12"/>
  <c r="F82" i="12" s="1"/>
  <c r="E82" i="14" s="1"/>
  <c r="F82" i="14" s="1"/>
  <c r="D82" i="12"/>
  <c r="G86" i="12" s="1"/>
  <c r="E80" i="12"/>
  <c r="E79" i="12"/>
  <c r="F79" i="12" s="1"/>
  <c r="E79" i="14" s="1"/>
  <c r="F79" i="14" s="1"/>
  <c r="D79" i="12"/>
  <c r="E76" i="12"/>
  <c r="F76" i="12" s="1"/>
  <c r="E76" i="14" s="1"/>
  <c r="F76" i="14" s="1"/>
  <c r="D76" i="12"/>
  <c r="E74" i="12"/>
  <c r="E73" i="12"/>
  <c r="F73" i="12" s="1"/>
  <c r="E73" i="14" s="1"/>
  <c r="F73" i="14" s="1"/>
  <c r="D73" i="12"/>
  <c r="E71" i="12"/>
  <c r="E70" i="12"/>
  <c r="F70" i="12" s="1"/>
  <c r="E70" i="14" s="1"/>
  <c r="F70" i="14" s="1"/>
  <c r="D70" i="12"/>
  <c r="E68" i="12"/>
  <c r="E67" i="12"/>
  <c r="F67" i="12" s="1"/>
  <c r="E67" i="14" s="1"/>
  <c r="F67" i="14" s="1"/>
  <c r="D67" i="12"/>
  <c r="C113" i="14"/>
  <c r="C116" i="14" s="1"/>
  <c r="C119" i="14" s="1"/>
  <c r="C122" i="14" s="1"/>
  <c r="C125" i="14" s="1"/>
  <c r="C128" i="14" s="1"/>
  <c r="B113" i="14"/>
  <c r="B116" i="14" s="1"/>
  <c r="B119" i="14" s="1"/>
  <c r="B122" i="14" s="1"/>
  <c r="B125" i="14" s="1"/>
  <c r="B128" i="14" s="1"/>
  <c r="D112" i="14"/>
  <c r="D109" i="14"/>
  <c r="C107" i="14"/>
  <c r="B107" i="14"/>
  <c r="D106" i="14"/>
  <c r="D103" i="14"/>
  <c r="C101" i="14"/>
  <c r="B101" i="14"/>
  <c r="D100" i="14"/>
  <c r="D97" i="14"/>
  <c r="D94" i="14"/>
  <c r="C92" i="14"/>
  <c r="B92" i="14"/>
  <c r="D91" i="14"/>
  <c r="D88" i="14"/>
  <c r="C83" i="14"/>
  <c r="C86" i="14" s="1"/>
  <c r="B83" i="14"/>
  <c r="B86" i="14" s="1"/>
  <c r="D82" i="14"/>
  <c r="D79" i="14"/>
  <c r="C77" i="14"/>
  <c r="B77" i="14"/>
  <c r="D76" i="14"/>
  <c r="D73" i="14"/>
  <c r="C71" i="14"/>
  <c r="B71" i="14"/>
  <c r="D70" i="14"/>
  <c r="D67" i="14"/>
  <c r="C65" i="14"/>
  <c r="B65" i="14"/>
  <c r="D64" i="14"/>
  <c r="D61" i="14"/>
  <c r="C59" i="14"/>
  <c r="B59" i="14"/>
  <c r="D58" i="14"/>
  <c r="D55" i="14"/>
  <c r="D52" i="14"/>
  <c r="C50" i="14"/>
  <c r="B50" i="14"/>
  <c r="D49" i="14"/>
  <c r="D46" i="14"/>
  <c r="C44" i="14"/>
  <c r="B44" i="14"/>
  <c r="D43" i="14"/>
  <c r="D40" i="14"/>
  <c r="C38" i="14"/>
  <c r="B38" i="14"/>
  <c r="D37" i="14"/>
  <c r="D34" i="14"/>
  <c r="D31" i="14"/>
  <c r="C29" i="14"/>
  <c r="B29" i="14"/>
  <c r="D28" i="14"/>
  <c r="D25" i="14"/>
  <c r="C23" i="14"/>
  <c r="B23" i="14"/>
  <c r="D22" i="14"/>
  <c r="D19" i="14"/>
  <c r="H122" i="14" l="1"/>
  <c r="J122" i="14" s="1"/>
  <c r="H125" i="14"/>
  <c r="J125" i="14" s="1"/>
  <c r="H128" i="14"/>
  <c r="J128" i="14" s="1"/>
  <c r="H119" i="14"/>
  <c r="H135" i="14"/>
  <c r="G135" i="14"/>
  <c r="H116" i="14"/>
  <c r="J116" i="14" s="1"/>
  <c r="J119" i="14"/>
  <c r="H84" i="12"/>
  <c r="I86" i="14"/>
  <c r="J86" i="14" s="1"/>
  <c r="H134" i="14"/>
  <c r="G134" i="12"/>
  <c r="I134" i="14" s="1"/>
  <c r="G97" i="12"/>
  <c r="I97" i="14" s="1"/>
  <c r="G67" i="12"/>
  <c r="I67" i="14" s="1"/>
  <c r="E77" i="12"/>
  <c r="F77" i="12" s="1"/>
  <c r="G94" i="12"/>
  <c r="I94" i="14" s="1"/>
  <c r="H94" i="14"/>
  <c r="G82" i="12"/>
  <c r="I82" i="14" s="1"/>
  <c r="G95" i="12"/>
  <c r="F104" i="12"/>
  <c r="E104" i="14" s="1"/>
  <c r="F104" i="14" s="1"/>
  <c r="G112" i="12"/>
  <c r="I112" i="14" s="1"/>
  <c r="H112" i="14"/>
  <c r="G70" i="12"/>
  <c r="I70" i="14" s="1"/>
  <c r="F71" i="12"/>
  <c r="G79" i="12"/>
  <c r="I79" i="14" s="1"/>
  <c r="F98" i="12"/>
  <c r="E98" i="14" s="1"/>
  <c r="G100" i="12"/>
  <c r="I100" i="14" s="1"/>
  <c r="G109" i="12"/>
  <c r="I109" i="14" s="1"/>
  <c r="F89" i="12"/>
  <c r="F80" i="12"/>
  <c r="E101" i="12"/>
  <c r="F101" i="12" s="1"/>
  <c r="E101" i="14" s="1"/>
  <c r="F101" i="14" s="1"/>
  <c r="G103" i="12"/>
  <c r="I103" i="14" s="1"/>
  <c r="E92" i="12"/>
  <c r="F92" i="12" s="1"/>
  <c r="E107" i="12"/>
  <c r="F107" i="12" s="1"/>
  <c r="E107" i="14" s="1"/>
  <c r="F107" i="14" s="1"/>
  <c r="F68" i="12"/>
  <c r="F110" i="12"/>
  <c r="G106" i="12"/>
  <c r="I106" i="14" s="1"/>
  <c r="G91" i="12"/>
  <c r="I91" i="14" s="1"/>
  <c r="G88" i="12"/>
  <c r="I88" i="14" s="1"/>
  <c r="G76" i="12"/>
  <c r="I76" i="14" s="1"/>
  <c r="G73" i="12"/>
  <c r="I73" i="14" s="1"/>
  <c r="F74" i="12"/>
  <c r="E83" i="12"/>
  <c r="F83" i="12" s="1"/>
  <c r="H95" i="14"/>
  <c r="E113" i="12"/>
  <c r="F113" i="12" s="1"/>
  <c r="E113" i="14" s="1"/>
  <c r="F113" i="14" s="1"/>
  <c r="E55" i="8"/>
  <c r="F55" i="8" s="1"/>
  <c r="G55" i="8" s="1"/>
  <c r="D55" i="8"/>
  <c r="B53" i="8"/>
  <c r="B56" i="8" s="1"/>
  <c r="B47" i="8"/>
  <c r="B41" i="8"/>
  <c r="B32" i="8"/>
  <c r="B26" i="8"/>
  <c r="B20" i="8"/>
  <c r="B14" i="8"/>
  <c r="F98" i="14" l="1"/>
  <c r="H98" i="14" s="1"/>
  <c r="H104" i="14"/>
  <c r="E74" i="14"/>
  <c r="F74" i="14" s="1"/>
  <c r="E68" i="14"/>
  <c r="F68" i="14" s="1"/>
  <c r="E77" i="14"/>
  <c r="F77" i="14" s="1"/>
  <c r="E83" i="14"/>
  <c r="F83" i="14" s="1"/>
  <c r="J134" i="14"/>
  <c r="H97" i="14"/>
  <c r="J97" i="14" s="1"/>
  <c r="G96" i="14"/>
  <c r="H93" i="12"/>
  <c r="I95" i="14"/>
  <c r="J95" i="14" s="1"/>
  <c r="H88" i="14"/>
  <c r="J88" i="14" s="1"/>
  <c r="H106" i="14"/>
  <c r="J106" i="14" s="1"/>
  <c r="J112" i="14"/>
  <c r="H79" i="14"/>
  <c r="J79" i="14" s="1"/>
  <c r="H82" i="14"/>
  <c r="J82" i="14" s="1"/>
  <c r="H76" i="14"/>
  <c r="J76" i="14" s="1"/>
  <c r="H91" i="14"/>
  <c r="J91" i="14" s="1"/>
  <c r="H73" i="14"/>
  <c r="J73" i="14" s="1"/>
  <c r="H70" i="14"/>
  <c r="J70" i="14" s="1"/>
  <c r="H67" i="14"/>
  <c r="J67" i="14" s="1"/>
  <c r="H109" i="14"/>
  <c r="J109" i="14" s="1"/>
  <c r="H100" i="14"/>
  <c r="J100" i="14" s="1"/>
  <c r="J94" i="14"/>
  <c r="H103" i="14"/>
  <c r="J103" i="14" s="1"/>
  <c r="G102" i="14"/>
  <c r="G133" i="14"/>
  <c r="G134" i="14"/>
  <c r="G104" i="12"/>
  <c r="I104" i="14" s="1"/>
  <c r="G98" i="12"/>
  <c r="E92" i="14"/>
  <c r="F92" i="14" s="1"/>
  <c r="G89" i="12"/>
  <c r="E89" i="14"/>
  <c r="F89" i="14" s="1"/>
  <c r="E110" i="14"/>
  <c r="E80" i="14"/>
  <c r="F80" i="14" s="1"/>
  <c r="G71" i="12"/>
  <c r="E71" i="14"/>
  <c r="F71" i="14" s="1"/>
  <c r="G111" i="14"/>
  <c r="G113" i="12"/>
  <c r="G92" i="12"/>
  <c r="G80" i="12"/>
  <c r="G110" i="12"/>
  <c r="G68" i="12"/>
  <c r="G66" i="14"/>
  <c r="G135" i="12"/>
  <c r="H107" i="14"/>
  <c r="G107" i="12"/>
  <c r="G93" i="14"/>
  <c r="G83" i="12"/>
  <c r="G81" i="14"/>
  <c r="G74" i="12"/>
  <c r="G101" i="12"/>
  <c r="G99" i="14"/>
  <c r="G77" i="12"/>
  <c r="C72" i="7"/>
  <c r="B72" i="7"/>
  <c r="C68" i="7"/>
  <c r="B68" i="7"/>
  <c r="C64" i="7"/>
  <c r="B64" i="7"/>
  <c r="C60" i="7"/>
  <c r="B60" i="7"/>
  <c r="C56" i="7"/>
  <c r="B56" i="7"/>
  <c r="C52" i="7"/>
  <c r="B52" i="7"/>
  <c r="C48" i="7"/>
  <c r="B48" i="7"/>
  <c r="C40" i="7"/>
  <c r="B40" i="7"/>
  <c r="C36" i="7"/>
  <c r="B36" i="7"/>
  <c r="C32" i="7"/>
  <c r="B32" i="7"/>
  <c r="N10" i="7"/>
  <c r="N9" i="7"/>
  <c r="M10" i="7"/>
  <c r="M9" i="7"/>
  <c r="E31" i="13"/>
  <c r="F31" i="13" s="1"/>
  <c r="E31" i="16" s="1"/>
  <c r="E30" i="13"/>
  <c r="F30" i="13" s="1"/>
  <c r="E30" i="16" s="1"/>
  <c r="D30" i="13"/>
  <c r="I29" i="13"/>
  <c r="E27" i="13"/>
  <c r="F27" i="13" s="1"/>
  <c r="E27" i="16" s="1"/>
  <c r="F27" i="16" s="1"/>
  <c r="F26" i="13"/>
  <c r="E26" i="16" s="1"/>
  <c r="F26" i="16" s="1"/>
  <c r="D26" i="13"/>
  <c r="I25" i="13"/>
  <c r="E23" i="13"/>
  <c r="F23" i="13" s="1"/>
  <c r="E23" i="16" s="1"/>
  <c r="F23" i="16" s="1"/>
  <c r="E22" i="13"/>
  <c r="F22" i="13" s="1"/>
  <c r="E22" i="16" s="1"/>
  <c r="F22" i="16" s="1"/>
  <c r="D22" i="13"/>
  <c r="I21" i="13"/>
  <c r="E19" i="13"/>
  <c r="F19" i="13" s="1"/>
  <c r="E19" i="16" s="1"/>
  <c r="F19" i="16" s="1"/>
  <c r="E18" i="13"/>
  <c r="F18" i="13" s="1"/>
  <c r="E18" i="16" s="1"/>
  <c r="F18" i="16" s="1"/>
  <c r="D18" i="13"/>
  <c r="E15" i="13"/>
  <c r="F15" i="13" s="1"/>
  <c r="E14" i="13"/>
  <c r="F14" i="13" s="1"/>
  <c r="E11" i="13"/>
  <c r="F11" i="13" s="1"/>
  <c r="E11" i="16" s="1"/>
  <c r="F11" i="16" s="1"/>
  <c r="N10" i="13"/>
  <c r="M10" i="13"/>
  <c r="E10" i="13"/>
  <c r="F10" i="13" s="1"/>
  <c r="G10" i="13" s="1"/>
  <c r="N9" i="13"/>
  <c r="M9" i="13"/>
  <c r="M8" i="13"/>
  <c r="M7" i="13"/>
  <c r="M6" i="13"/>
  <c r="M5" i="13"/>
  <c r="F145" i="12"/>
  <c r="E65" i="12"/>
  <c r="E64" i="12"/>
  <c r="F64" i="12" s="1"/>
  <c r="E64" i="14" s="1"/>
  <c r="F64" i="14" s="1"/>
  <c r="D64" i="12"/>
  <c r="E62" i="12"/>
  <c r="J61" i="12"/>
  <c r="E61" i="12"/>
  <c r="F61" i="12" s="1"/>
  <c r="E61" i="14" s="1"/>
  <c r="F61" i="14" s="1"/>
  <c r="D61" i="12"/>
  <c r="J60" i="12"/>
  <c r="J59" i="12"/>
  <c r="J58" i="12"/>
  <c r="E58" i="12"/>
  <c r="F58" i="12" s="1"/>
  <c r="E58" i="14" s="1"/>
  <c r="F58" i="14" s="1"/>
  <c r="D58" i="12"/>
  <c r="J57" i="12"/>
  <c r="J56" i="12"/>
  <c r="J55" i="12"/>
  <c r="F55" i="12"/>
  <c r="E55" i="14" s="1"/>
  <c r="F55" i="14" s="1"/>
  <c r="D55" i="12"/>
  <c r="J54" i="12"/>
  <c r="J53" i="12"/>
  <c r="E53" i="12"/>
  <c r="F53" i="12" s="1"/>
  <c r="E53" i="14" s="1"/>
  <c r="F53" i="14" s="1"/>
  <c r="J52" i="12"/>
  <c r="E52" i="12"/>
  <c r="F52" i="12" s="1"/>
  <c r="E52" i="14" s="1"/>
  <c r="F52" i="14" s="1"/>
  <c r="D52" i="12"/>
  <c r="J51" i="12"/>
  <c r="J50" i="12"/>
  <c r="C50" i="12"/>
  <c r="E50" i="12" s="1"/>
  <c r="J49" i="12"/>
  <c r="E49" i="12"/>
  <c r="F49" i="12" s="1"/>
  <c r="E49" i="14" s="1"/>
  <c r="F49" i="14" s="1"/>
  <c r="D49" i="12"/>
  <c r="E47" i="12"/>
  <c r="N46" i="12"/>
  <c r="M46" i="12"/>
  <c r="E46" i="12"/>
  <c r="F46" i="12" s="1"/>
  <c r="E46" i="14" s="1"/>
  <c r="F46" i="14" s="1"/>
  <c r="D46" i="12"/>
  <c r="N45" i="12"/>
  <c r="M45" i="12"/>
  <c r="E43" i="12"/>
  <c r="F43" i="12" s="1"/>
  <c r="E43" i="14" s="1"/>
  <c r="F43" i="14" s="1"/>
  <c r="D43" i="12"/>
  <c r="E41" i="12"/>
  <c r="E40" i="12"/>
  <c r="F40" i="12" s="1"/>
  <c r="E40" i="14" s="1"/>
  <c r="F40" i="14" s="1"/>
  <c r="D40" i="12"/>
  <c r="C38" i="12"/>
  <c r="E37" i="12"/>
  <c r="F37" i="12" s="1"/>
  <c r="E37" i="14" s="1"/>
  <c r="F37" i="14" s="1"/>
  <c r="D37" i="12"/>
  <c r="E35" i="12"/>
  <c r="E34" i="12"/>
  <c r="F34" i="12" s="1"/>
  <c r="E34" i="14" s="1"/>
  <c r="F34" i="14" s="1"/>
  <c r="D34" i="12"/>
  <c r="J32" i="12"/>
  <c r="E32" i="12"/>
  <c r="F32" i="12" s="1"/>
  <c r="E32" i="14" s="1"/>
  <c r="F32" i="14" s="1"/>
  <c r="J31" i="12"/>
  <c r="E31" i="14"/>
  <c r="F31" i="14" s="1"/>
  <c r="D31" i="12"/>
  <c r="J30" i="12"/>
  <c r="J29" i="12"/>
  <c r="K31" i="12" s="1"/>
  <c r="C29" i="12"/>
  <c r="J28" i="12"/>
  <c r="K30" i="12" s="1"/>
  <c r="E28" i="12"/>
  <c r="F28" i="12" s="1"/>
  <c r="E28" i="14" s="1"/>
  <c r="F28" i="14" s="1"/>
  <c r="J27" i="12"/>
  <c r="K29" i="12" s="1"/>
  <c r="J26" i="12"/>
  <c r="K28" i="12" s="1"/>
  <c r="E26" i="12"/>
  <c r="J25" i="12"/>
  <c r="K27" i="12" s="1"/>
  <c r="E25" i="12"/>
  <c r="F25" i="12" s="1"/>
  <c r="E25" i="14" s="1"/>
  <c r="F25" i="14" s="1"/>
  <c r="J24" i="12"/>
  <c r="K26" i="12" s="1"/>
  <c r="J23" i="12"/>
  <c r="K25" i="12" s="1"/>
  <c r="C23" i="12"/>
  <c r="E23" i="12" s="1"/>
  <c r="J22" i="12"/>
  <c r="K24" i="12" s="1"/>
  <c r="E22" i="12"/>
  <c r="F22" i="12" s="1"/>
  <c r="E22" i="14" s="1"/>
  <c r="F22" i="14" s="1"/>
  <c r="D22" i="12"/>
  <c r="J21" i="12"/>
  <c r="K23" i="12" s="1"/>
  <c r="J20" i="12"/>
  <c r="K22" i="12" s="1"/>
  <c r="E20" i="12"/>
  <c r="J19" i="12"/>
  <c r="K21" i="12" s="1"/>
  <c r="E19" i="12"/>
  <c r="F19" i="12" s="1"/>
  <c r="E19" i="14" s="1"/>
  <c r="F19" i="14" s="1"/>
  <c r="D19" i="12"/>
  <c r="J18" i="12"/>
  <c r="K20" i="12" s="1"/>
  <c r="J17" i="12"/>
  <c r="K19" i="12" s="1"/>
  <c r="E17" i="12"/>
  <c r="F17" i="12" s="1"/>
  <c r="E17" i="14" s="1"/>
  <c r="F17" i="14" s="1"/>
  <c r="J16" i="12"/>
  <c r="K18" i="12" s="1"/>
  <c r="E16" i="12"/>
  <c r="F16" i="12" s="1"/>
  <c r="D16" i="12"/>
  <c r="J15" i="12"/>
  <c r="K17" i="12" s="1"/>
  <c r="E14" i="12"/>
  <c r="E13" i="12"/>
  <c r="F13" i="12" s="1"/>
  <c r="E13" i="14" s="1"/>
  <c r="F13" i="14" s="1"/>
  <c r="D13" i="12"/>
  <c r="E11" i="12"/>
  <c r="N10" i="12"/>
  <c r="M10" i="12"/>
  <c r="E10" i="12"/>
  <c r="F10" i="12" s="1"/>
  <c r="G10" i="12" s="1"/>
  <c r="N9" i="12"/>
  <c r="M9" i="12"/>
  <c r="N8" i="12"/>
  <c r="M8" i="12"/>
  <c r="N7" i="12"/>
  <c r="M7" i="12"/>
  <c r="N6" i="12"/>
  <c r="M6" i="12"/>
  <c r="N5" i="12"/>
  <c r="M5" i="12"/>
  <c r="E16" i="14" l="1"/>
  <c r="F16" i="14" s="1"/>
  <c r="H16" i="14" s="1"/>
  <c r="G16" i="12"/>
  <c r="I16" i="14" s="1"/>
  <c r="E10" i="16"/>
  <c r="F10" i="16" s="1"/>
  <c r="F110" i="14"/>
  <c r="G108" i="14" s="1"/>
  <c r="G69" i="14"/>
  <c r="G87" i="14"/>
  <c r="G90" i="14"/>
  <c r="J104" i="14"/>
  <c r="G75" i="14"/>
  <c r="G72" i="14"/>
  <c r="G78" i="14"/>
  <c r="G30" i="13"/>
  <c r="F50" i="16"/>
  <c r="G31" i="13"/>
  <c r="F51" i="16"/>
  <c r="G26" i="13"/>
  <c r="F38" i="16"/>
  <c r="G27" i="13"/>
  <c r="F39" i="16"/>
  <c r="G22" i="13"/>
  <c r="F30" i="16"/>
  <c r="G23" i="13"/>
  <c r="F31" i="16"/>
  <c r="G19" i="13"/>
  <c r="G18" i="13"/>
  <c r="G14" i="13"/>
  <c r="E14" i="16"/>
  <c r="F14" i="16" s="1"/>
  <c r="G15" i="13"/>
  <c r="E15" i="16"/>
  <c r="F15" i="16" s="1"/>
  <c r="F11" i="12"/>
  <c r="G11" i="12" s="1"/>
  <c r="O46" i="12"/>
  <c r="H99" i="12"/>
  <c r="I101" i="14"/>
  <c r="H133" i="12"/>
  <c r="I135" i="14"/>
  <c r="J135" i="14" s="1"/>
  <c r="H78" i="12"/>
  <c r="I80" i="14"/>
  <c r="H90" i="12"/>
  <c r="I92" i="14"/>
  <c r="H69" i="12"/>
  <c r="I71" i="14"/>
  <c r="H87" i="12"/>
  <c r="I89" i="14"/>
  <c r="H81" i="12"/>
  <c r="I83" i="14"/>
  <c r="H75" i="12"/>
  <c r="I77" i="14"/>
  <c r="H72" i="12"/>
  <c r="I74" i="14"/>
  <c r="H105" i="12"/>
  <c r="I107" i="14"/>
  <c r="J107" i="14" s="1"/>
  <c r="H66" i="12"/>
  <c r="I68" i="14"/>
  <c r="H111" i="12"/>
  <c r="I113" i="14"/>
  <c r="H108" i="12"/>
  <c r="I110" i="14"/>
  <c r="H96" i="12"/>
  <c r="I98" i="14"/>
  <c r="J98" i="14" s="1"/>
  <c r="G105" i="14"/>
  <c r="H113" i="14"/>
  <c r="H101" i="14"/>
  <c r="H83" i="14"/>
  <c r="H68" i="14"/>
  <c r="F23" i="12"/>
  <c r="H102" i="12"/>
  <c r="J102" i="12"/>
  <c r="I102" i="12"/>
  <c r="O10" i="12"/>
  <c r="E10" i="14"/>
  <c r="F10" i="14" s="1"/>
  <c r="F14" i="12"/>
  <c r="E12" i="13"/>
  <c r="O9" i="7"/>
  <c r="G31" i="12"/>
  <c r="I31" i="14" s="1"/>
  <c r="G37" i="12"/>
  <c r="I37" i="14" s="1"/>
  <c r="O6" i="12"/>
  <c r="G13" i="12"/>
  <c r="I13" i="14" s="1"/>
  <c r="H13" i="14"/>
  <c r="G22" i="12"/>
  <c r="I22" i="14" s="1"/>
  <c r="G28" i="12"/>
  <c r="I28" i="14" s="1"/>
  <c r="G34" i="12"/>
  <c r="I34" i="14" s="1"/>
  <c r="H34" i="14"/>
  <c r="G49" i="12"/>
  <c r="I49" i="14" s="1"/>
  <c r="G53" i="12"/>
  <c r="I53" i="14" s="1"/>
  <c r="H53" i="14"/>
  <c r="G55" i="12"/>
  <c r="I55" i="14" s="1"/>
  <c r="G61" i="12"/>
  <c r="I61" i="14" s="1"/>
  <c r="G64" i="12"/>
  <c r="I64" i="14" s="1"/>
  <c r="G32" i="12"/>
  <c r="I32" i="14" s="1"/>
  <c r="H32" i="14"/>
  <c r="G43" i="12"/>
  <c r="I43" i="14" s="1"/>
  <c r="G17" i="12"/>
  <c r="I17" i="14" s="1"/>
  <c r="H17" i="14"/>
  <c r="G19" i="12"/>
  <c r="I19" i="14" s="1"/>
  <c r="H19" i="14"/>
  <c r="G25" i="12"/>
  <c r="I25" i="14" s="1"/>
  <c r="G40" i="12"/>
  <c r="I40" i="14" s="1"/>
  <c r="G46" i="12"/>
  <c r="I46" i="14" s="1"/>
  <c r="G52" i="12"/>
  <c r="I52" i="14" s="1"/>
  <c r="H52" i="14"/>
  <c r="G58" i="12"/>
  <c r="I58" i="14" s="1"/>
  <c r="O8" i="12"/>
  <c r="F35" i="12"/>
  <c r="G35" i="12" s="1"/>
  <c r="F47" i="12"/>
  <c r="F26" i="12"/>
  <c r="F62" i="12"/>
  <c r="F41" i="12"/>
  <c r="F20" i="12"/>
  <c r="E38" i="12"/>
  <c r="F38" i="12" s="1"/>
  <c r="E44" i="12"/>
  <c r="F44" i="12" s="1"/>
  <c r="E29" i="12"/>
  <c r="F29" i="12" s="1"/>
  <c r="O45" i="12"/>
  <c r="E16" i="13"/>
  <c r="E20" i="13"/>
  <c r="O5" i="13"/>
  <c r="F12" i="13" s="1"/>
  <c r="E12" i="16" s="1"/>
  <c r="F12" i="16" s="1"/>
  <c r="O7" i="13"/>
  <c r="O10" i="7"/>
  <c r="O9" i="13"/>
  <c r="O10" i="13"/>
  <c r="E28" i="13"/>
  <c r="E24" i="13"/>
  <c r="E32" i="13"/>
  <c r="O6" i="13"/>
  <c r="O8" i="13"/>
  <c r="F65" i="12"/>
  <c r="O5" i="12"/>
  <c r="O7" i="12"/>
  <c r="O9" i="12"/>
  <c r="E59" i="12"/>
  <c r="F59" i="12" s="1"/>
  <c r="F50" i="12"/>
  <c r="F56" i="12"/>
  <c r="G11" i="13"/>
  <c r="B28" i="7"/>
  <c r="B24" i="7"/>
  <c r="B20" i="7"/>
  <c r="B16" i="7"/>
  <c r="B12" i="7"/>
  <c r="G10" i="16" l="1"/>
  <c r="E11" i="14"/>
  <c r="F11" i="14" s="1"/>
  <c r="G142" i="12"/>
  <c r="H143" i="12"/>
  <c r="H77" i="14"/>
  <c r="J77" i="14" s="1"/>
  <c r="F136" i="13"/>
  <c r="F132" i="13"/>
  <c r="F116" i="13"/>
  <c r="F112" i="13"/>
  <c r="F124" i="13"/>
  <c r="F140" i="13"/>
  <c r="F128" i="13"/>
  <c r="F104" i="13"/>
  <c r="F100" i="13"/>
  <c r="F96" i="13"/>
  <c r="F92" i="13"/>
  <c r="F88" i="13"/>
  <c r="F84" i="13"/>
  <c r="F80" i="13"/>
  <c r="F76" i="13"/>
  <c r="F72" i="13"/>
  <c r="F68" i="13"/>
  <c r="F64" i="13"/>
  <c r="F60" i="13"/>
  <c r="F56" i="13"/>
  <c r="F52" i="13"/>
  <c r="F108" i="13"/>
  <c r="F120" i="13"/>
  <c r="F48" i="13"/>
  <c r="F40" i="13"/>
  <c r="F36" i="13"/>
  <c r="F44" i="13"/>
  <c r="H89" i="14"/>
  <c r="H110" i="14"/>
  <c r="J110" i="14" s="1"/>
  <c r="H80" i="14"/>
  <c r="J83" i="14"/>
  <c r="H92" i="14"/>
  <c r="J92" i="14" s="1"/>
  <c r="H71" i="14"/>
  <c r="J71" i="14" s="1"/>
  <c r="H74" i="14"/>
  <c r="J74" i="14" s="1"/>
  <c r="F28" i="13"/>
  <c r="E28" i="16" s="1"/>
  <c r="F28" i="16" s="1"/>
  <c r="G26" i="16" s="1"/>
  <c r="F32" i="13"/>
  <c r="E32" i="16" s="1"/>
  <c r="E50" i="14"/>
  <c r="F50" i="14" s="1"/>
  <c r="E56" i="14"/>
  <c r="F56" i="14" s="1"/>
  <c r="E59" i="14"/>
  <c r="E65" i="14"/>
  <c r="F65" i="14" s="1"/>
  <c r="E44" i="14"/>
  <c r="F44" i="14" s="1"/>
  <c r="E20" i="14"/>
  <c r="F20" i="14" s="1"/>
  <c r="E62" i="14"/>
  <c r="F62" i="14" s="1"/>
  <c r="E47" i="14"/>
  <c r="F47" i="14" s="1"/>
  <c r="E29" i="14"/>
  <c r="F29" i="14" s="1"/>
  <c r="E38" i="14"/>
  <c r="F38" i="14" s="1"/>
  <c r="E41" i="14"/>
  <c r="F41" i="14" s="1"/>
  <c r="E26" i="14"/>
  <c r="F26" i="14" s="1"/>
  <c r="E35" i="14"/>
  <c r="F35" i="14" s="1"/>
  <c r="E23" i="14"/>
  <c r="F23" i="14" s="1"/>
  <c r="G12" i="13"/>
  <c r="H9" i="13" s="1"/>
  <c r="J17" i="14"/>
  <c r="J32" i="14"/>
  <c r="J68" i="14"/>
  <c r="J101" i="14"/>
  <c r="J52" i="14"/>
  <c r="J19" i="14"/>
  <c r="J80" i="14"/>
  <c r="J53" i="14"/>
  <c r="J34" i="14"/>
  <c r="J113" i="14"/>
  <c r="H58" i="14"/>
  <c r="J58" i="14" s="1"/>
  <c r="H61" i="14"/>
  <c r="J61" i="14" s="1"/>
  <c r="H22" i="14"/>
  <c r="J22" i="14" s="1"/>
  <c r="I119" i="12"/>
  <c r="J89" i="14"/>
  <c r="H46" i="14"/>
  <c r="J46" i="14" s="1"/>
  <c r="H25" i="14"/>
  <c r="J25" i="14" s="1"/>
  <c r="H31" i="14"/>
  <c r="J31" i="14" s="1"/>
  <c r="G30" i="14"/>
  <c r="H40" i="14"/>
  <c r="J40" i="14" s="1"/>
  <c r="H43" i="14"/>
  <c r="J43" i="14" s="1"/>
  <c r="H37" i="14"/>
  <c r="J37" i="14" s="1"/>
  <c r="I10" i="14"/>
  <c r="H64" i="14"/>
  <c r="J64" i="14" s="1"/>
  <c r="H55" i="14"/>
  <c r="J55" i="14" s="1"/>
  <c r="H49" i="14"/>
  <c r="J49" i="14" s="1"/>
  <c r="H28" i="14"/>
  <c r="J28" i="14" s="1"/>
  <c r="J16" i="14"/>
  <c r="H142" i="12"/>
  <c r="I113" i="12"/>
  <c r="H10" i="14"/>
  <c r="I125" i="12"/>
  <c r="I128" i="12"/>
  <c r="H30" i="12"/>
  <c r="E14" i="14"/>
  <c r="F14" i="14" s="1"/>
  <c r="H15" i="12"/>
  <c r="H51" i="12"/>
  <c r="G14" i="12"/>
  <c r="G15" i="14"/>
  <c r="G51" i="14"/>
  <c r="G44" i="12"/>
  <c r="G62" i="12"/>
  <c r="G23" i="12"/>
  <c r="G38" i="12"/>
  <c r="G26" i="12"/>
  <c r="G65" i="12"/>
  <c r="G20" i="12"/>
  <c r="G47" i="12"/>
  <c r="G56" i="12"/>
  <c r="G50" i="12"/>
  <c r="G41" i="12"/>
  <c r="F16" i="13"/>
  <c r="F20" i="13"/>
  <c r="F24" i="13"/>
  <c r="E24" i="16" s="1"/>
  <c r="F24" i="16" s="1"/>
  <c r="G22" i="16" s="1"/>
  <c r="G29" i="12"/>
  <c r="G59" i="12"/>
  <c r="F59" i="14" l="1"/>
  <c r="G57" i="14" s="1"/>
  <c r="G120" i="13"/>
  <c r="H117" i="13" s="1"/>
  <c r="E120" i="16"/>
  <c r="F120" i="16" s="1"/>
  <c r="G118" i="16" s="1"/>
  <c r="G128" i="13"/>
  <c r="H125" i="13" s="1"/>
  <c r="E128" i="16"/>
  <c r="F128" i="16" s="1"/>
  <c r="G126" i="16" s="1"/>
  <c r="G116" i="13"/>
  <c r="H113" i="13" s="1"/>
  <c r="E116" i="16"/>
  <c r="F116" i="16" s="1"/>
  <c r="G114" i="16" s="1"/>
  <c r="G108" i="13"/>
  <c r="H105" i="13" s="1"/>
  <c r="E108" i="16"/>
  <c r="F108" i="16" s="1"/>
  <c r="G106" i="16" s="1"/>
  <c r="G140" i="13"/>
  <c r="H137" i="13" s="1"/>
  <c r="E140" i="16"/>
  <c r="F140" i="16" s="1"/>
  <c r="G138" i="16" s="1"/>
  <c r="G132" i="13"/>
  <c r="H129" i="13" s="1"/>
  <c r="E132" i="16"/>
  <c r="F132" i="16" s="1"/>
  <c r="G130" i="16" s="1"/>
  <c r="G100" i="13"/>
  <c r="H97" i="13" s="1"/>
  <c r="E100" i="16"/>
  <c r="F100" i="16" s="1"/>
  <c r="G98" i="16" s="1"/>
  <c r="G124" i="13"/>
  <c r="H121" i="13" s="1"/>
  <c r="E124" i="16"/>
  <c r="F124" i="16" s="1"/>
  <c r="G122" i="16" s="1"/>
  <c r="G136" i="13"/>
  <c r="H133" i="13" s="1"/>
  <c r="E136" i="16"/>
  <c r="F136" i="16" s="1"/>
  <c r="G134" i="16" s="1"/>
  <c r="G104" i="13"/>
  <c r="H101" i="13" s="1"/>
  <c r="E104" i="16"/>
  <c r="F104" i="16" s="1"/>
  <c r="G102" i="16" s="1"/>
  <c r="G112" i="13"/>
  <c r="H109" i="13" s="1"/>
  <c r="E112" i="16"/>
  <c r="F112" i="16" s="1"/>
  <c r="G110" i="16" s="1"/>
  <c r="I11" i="14"/>
  <c r="G143" i="12"/>
  <c r="G144" i="12" s="1"/>
  <c r="E20" i="16"/>
  <c r="G20" i="13"/>
  <c r="G60" i="13"/>
  <c r="H57" i="13" s="1"/>
  <c r="E60" i="16"/>
  <c r="F60" i="16" s="1"/>
  <c r="G58" i="16" s="1"/>
  <c r="G68" i="13"/>
  <c r="H65" i="13" s="1"/>
  <c r="E68" i="16"/>
  <c r="F68" i="16" s="1"/>
  <c r="G66" i="16" s="1"/>
  <c r="G76" i="13"/>
  <c r="H73" i="13" s="1"/>
  <c r="E76" i="16"/>
  <c r="F76" i="16" s="1"/>
  <c r="G74" i="16" s="1"/>
  <c r="G84" i="13"/>
  <c r="H81" i="13" s="1"/>
  <c r="E84" i="16"/>
  <c r="F84" i="16" s="1"/>
  <c r="G82" i="16" s="1"/>
  <c r="G92" i="13"/>
  <c r="H89" i="13" s="1"/>
  <c r="E92" i="16"/>
  <c r="F92" i="16" s="1"/>
  <c r="G90" i="16" s="1"/>
  <c r="G56" i="13"/>
  <c r="H53" i="13" s="1"/>
  <c r="E56" i="16"/>
  <c r="F56" i="16" s="1"/>
  <c r="G54" i="16" s="1"/>
  <c r="G64" i="13"/>
  <c r="H61" i="13" s="1"/>
  <c r="E64" i="16"/>
  <c r="F64" i="16" s="1"/>
  <c r="G62" i="16" s="1"/>
  <c r="G72" i="13"/>
  <c r="H69" i="13" s="1"/>
  <c r="E72" i="16"/>
  <c r="F72" i="16" s="1"/>
  <c r="G70" i="16" s="1"/>
  <c r="G80" i="13"/>
  <c r="H77" i="13" s="1"/>
  <c r="E80" i="16"/>
  <c r="F80" i="16" s="1"/>
  <c r="G78" i="16" s="1"/>
  <c r="G88" i="13"/>
  <c r="H85" i="13" s="1"/>
  <c r="E88" i="16"/>
  <c r="F88" i="16" s="1"/>
  <c r="G86" i="16" s="1"/>
  <c r="G96" i="13"/>
  <c r="H93" i="13" s="1"/>
  <c r="E96" i="16"/>
  <c r="F96" i="16" s="1"/>
  <c r="G94" i="16" s="1"/>
  <c r="G44" i="13"/>
  <c r="H41" i="13" s="1"/>
  <c r="E44" i="16"/>
  <c r="F44" i="16" s="1"/>
  <c r="G42" i="16" s="1"/>
  <c r="G40" i="13"/>
  <c r="H37" i="13" s="1"/>
  <c r="E40" i="16"/>
  <c r="G52" i="13"/>
  <c r="H49" i="13" s="1"/>
  <c r="E52" i="16"/>
  <c r="G36" i="13"/>
  <c r="H33" i="13" s="1"/>
  <c r="E36" i="16"/>
  <c r="F36" i="16" s="1"/>
  <c r="G34" i="16" s="1"/>
  <c r="G48" i="13"/>
  <c r="H45" i="13" s="1"/>
  <c r="E48" i="16"/>
  <c r="F48" i="16" s="1"/>
  <c r="G46" i="16" s="1"/>
  <c r="H141" i="13"/>
  <c r="H142" i="13"/>
  <c r="G141" i="13"/>
  <c r="I143" i="12"/>
  <c r="I142" i="12"/>
  <c r="I142" i="14"/>
  <c r="G27" i="14"/>
  <c r="G28" i="13"/>
  <c r="H25" i="13" s="1"/>
  <c r="G24" i="13"/>
  <c r="H21" i="13" s="1"/>
  <c r="G16" i="13"/>
  <c r="H13" i="13" s="1"/>
  <c r="E16" i="16"/>
  <c r="F16" i="16" s="1"/>
  <c r="H17" i="13"/>
  <c r="G32" i="13"/>
  <c r="H29" i="13" s="1"/>
  <c r="I35" i="14"/>
  <c r="H33" i="12"/>
  <c r="I20" i="14"/>
  <c r="H18" i="12"/>
  <c r="H27" i="12"/>
  <c r="I29" i="14"/>
  <c r="H54" i="12"/>
  <c r="I56" i="14"/>
  <c r="H63" i="12"/>
  <c r="I65" i="14"/>
  <c r="H60" i="12"/>
  <c r="I62" i="14"/>
  <c r="H24" i="12"/>
  <c r="I26" i="14"/>
  <c r="H42" i="12"/>
  <c r="I44" i="14"/>
  <c r="H39" i="12"/>
  <c r="I41" i="14"/>
  <c r="H45" i="12"/>
  <c r="I47" i="14"/>
  <c r="H36" i="12"/>
  <c r="I38" i="14"/>
  <c r="H57" i="12"/>
  <c r="I59" i="14"/>
  <c r="H48" i="12"/>
  <c r="I50" i="14"/>
  <c r="H21" i="12"/>
  <c r="I23" i="14"/>
  <c r="H12" i="12"/>
  <c r="I14" i="14"/>
  <c r="H59" i="14"/>
  <c r="G12" i="14"/>
  <c r="H14" i="14"/>
  <c r="G143" i="14"/>
  <c r="J143" i="14" s="1"/>
  <c r="H9" i="12"/>
  <c r="G39" i="14"/>
  <c r="G54" i="14"/>
  <c r="G45" i="14"/>
  <c r="G63" i="14"/>
  <c r="G36" i="14"/>
  <c r="G60" i="14"/>
  <c r="G33" i="14"/>
  <c r="G48" i="14"/>
  <c r="H11" i="14"/>
  <c r="G24" i="14"/>
  <c r="G21" i="14"/>
  <c r="G42" i="14"/>
  <c r="C53" i="8"/>
  <c r="C56" i="8" s="1"/>
  <c r="E56" i="8" s="1"/>
  <c r="D52" i="8"/>
  <c r="E52" i="8"/>
  <c r="F52" i="8" s="1"/>
  <c r="G52" i="8" s="1"/>
  <c r="F20" i="16" l="1"/>
  <c r="G18" i="16" s="1"/>
  <c r="G142" i="13"/>
  <c r="I141" i="13"/>
  <c r="I142" i="13"/>
  <c r="J14" i="14"/>
  <c r="H29" i="14"/>
  <c r="J29" i="14" s="1"/>
  <c r="I144" i="12"/>
  <c r="I143" i="14"/>
  <c r="F52" i="16"/>
  <c r="G50" i="16" s="1"/>
  <c r="F32" i="16"/>
  <c r="F40" i="16"/>
  <c r="G38" i="16" s="1"/>
  <c r="H20" i="14"/>
  <c r="J20" i="14" s="1"/>
  <c r="G18" i="14"/>
  <c r="J59" i="14"/>
  <c r="I141" i="12"/>
  <c r="I139" i="12"/>
  <c r="H56" i="14"/>
  <c r="J56" i="14" s="1"/>
  <c r="H44" i="14"/>
  <c r="J44" i="14" s="1"/>
  <c r="H38" i="14"/>
  <c r="J38" i="14" s="1"/>
  <c r="H41" i="14"/>
  <c r="J41" i="14" s="1"/>
  <c r="H26" i="14"/>
  <c r="J26" i="14" s="1"/>
  <c r="H35" i="14"/>
  <c r="J35" i="14" s="1"/>
  <c r="H47" i="14"/>
  <c r="J47" i="14" s="1"/>
  <c r="H62" i="14"/>
  <c r="J62" i="14" s="1"/>
  <c r="H23" i="14"/>
  <c r="J23" i="14" s="1"/>
  <c r="H50" i="14"/>
  <c r="J50" i="14" s="1"/>
  <c r="H65" i="14"/>
  <c r="J65" i="14" s="1"/>
  <c r="G142" i="14"/>
  <c r="J142" i="14" s="1"/>
  <c r="I138" i="12"/>
  <c r="I136" i="12"/>
  <c r="I135" i="12"/>
  <c r="I131" i="12"/>
  <c r="I129" i="12"/>
  <c r="F143" i="14"/>
  <c r="H143" i="14" s="1"/>
  <c r="F142" i="14"/>
  <c r="I133" i="12"/>
  <c r="G9" i="14"/>
  <c r="H139" i="14" s="1"/>
  <c r="J139" i="14" s="1"/>
  <c r="F56" i="8"/>
  <c r="G56" i="8" s="1"/>
  <c r="H54" i="8" s="1"/>
  <c r="E53" i="8"/>
  <c r="D15" i="11"/>
  <c r="M7" i="11"/>
  <c r="M6" i="11"/>
  <c r="M5" i="11"/>
  <c r="D10" i="8"/>
  <c r="C32" i="8"/>
  <c r="G141" i="16" l="1"/>
  <c r="G142" i="16"/>
  <c r="G30" i="16"/>
  <c r="F142" i="16"/>
  <c r="F141" i="16"/>
  <c r="J142" i="13"/>
  <c r="K142" i="13"/>
  <c r="G143" i="13"/>
  <c r="G14" i="16"/>
  <c r="I141" i="14"/>
  <c r="H142" i="14"/>
  <c r="J144" i="12"/>
  <c r="I146" i="12"/>
  <c r="C14" i="8"/>
  <c r="E14" i="8" s="1"/>
  <c r="C47" i="8"/>
  <c r="E47" i="8" s="1"/>
  <c r="C41" i="8"/>
  <c r="E41" i="8" s="1"/>
  <c r="C26" i="8"/>
  <c r="E26" i="8" s="1"/>
  <c r="C20" i="8"/>
  <c r="E20" i="8" s="1"/>
  <c r="D49" i="8"/>
  <c r="D46" i="8"/>
  <c r="D43" i="8"/>
  <c r="D37" i="8"/>
  <c r="D34" i="8"/>
  <c r="D31" i="8"/>
  <c r="D28" i="8"/>
  <c r="D25" i="8"/>
  <c r="D22" i="8"/>
  <c r="D19" i="8"/>
  <c r="D16" i="8"/>
  <c r="D13" i="8"/>
  <c r="F14" i="8" s="1"/>
  <c r="E19" i="8"/>
  <c r="F19" i="8" s="1"/>
  <c r="G19" i="8" s="1"/>
  <c r="E17" i="8"/>
  <c r="E16" i="8"/>
  <c r="F16" i="8" s="1"/>
  <c r="G16" i="8" s="1"/>
  <c r="E13" i="8"/>
  <c r="F13" i="8" s="1"/>
  <c r="G13" i="8" s="1"/>
  <c r="E11" i="8"/>
  <c r="E10" i="8"/>
  <c r="F10" i="8" s="1"/>
  <c r="E25" i="8"/>
  <c r="F25" i="8" s="1"/>
  <c r="G25" i="8" s="1"/>
  <c r="E23" i="8"/>
  <c r="E22" i="8"/>
  <c r="F22" i="8" s="1"/>
  <c r="G22" i="8" s="1"/>
  <c r="E28" i="8"/>
  <c r="F28" i="8" s="1"/>
  <c r="G28" i="8" s="1"/>
  <c r="E29" i="8"/>
  <c r="E31" i="8"/>
  <c r="F31" i="8" s="1"/>
  <c r="G31" i="8" s="1"/>
  <c r="E32" i="8"/>
  <c r="E34" i="8"/>
  <c r="F34" i="8" s="1"/>
  <c r="G34" i="8" s="1"/>
  <c r="E35" i="8"/>
  <c r="F35" i="8" s="1"/>
  <c r="E37" i="8"/>
  <c r="F37" i="8" s="1"/>
  <c r="G37" i="8" s="1"/>
  <c r="E38" i="8"/>
  <c r="E40" i="8"/>
  <c r="F40" i="8" s="1"/>
  <c r="G40" i="8" s="1"/>
  <c r="E43" i="8"/>
  <c r="F43" i="8" s="1"/>
  <c r="G43" i="8" s="1"/>
  <c r="E44" i="8"/>
  <c r="E46" i="8"/>
  <c r="F46" i="8" s="1"/>
  <c r="G46" i="8" s="1"/>
  <c r="E49" i="8"/>
  <c r="F49" i="8" s="1"/>
  <c r="G49" i="8" s="1"/>
  <c r="E50" i="8"/>
  <c r="F60" i="8"/>
  <c r="D70" i="7"/>
  <c r="F72" i="7" s="1"/>
  <c r="D66" i="7"/>
  <c r="F68" i="7" s="1"/>
  <c r="D22" i="7"/>
  <c r="D62" i="7"/>
  <c r="F64" i="7" s="1"/>
  <c r="D18" i="7"/>
  <c r="D58" i="7"/>
  <c r="F60" i="7" s="1"/>
  <c r="D14" i="7"/>
  <c r="D54" i="7"/>
  <c r="F56" i="7" s="1"/>
  <c r="D10" i="7"/>
  <c r="D50" i="7"/>
  <c r="F52" i="7" s="1"/>
  <c r="D46" i="7"/>
  <c r="F48" i="7" s="1"/>
  <c r="D42" i="7"/>
  <c r="F44" i="7" s="1"/>
  <c r="D38" i="7"/>
  <c r="F40" i="7" s="1"/>
  <c r="D34" i="7"/>
  <c r="F36" i="7" s="1"/>
  <c r="D30" i="7"/>
  <c r="F32" i="7" s="1"/>
  <c r="N5" i="11"/>
  <c r="O5" i="11" s="1"/>
  <c r="D40" i="8"/>
  <c r="F143" i="16" l="1"/>
  <c r="F32" i="8"/>
  <c r="F53" i="8"/>
  <c r="G53" i="8" s="1"/>
  <c r="H51" i="8" s="1"/>
  <c r="F29" i="8"/>
  <c r="G29" i="8" s="1"/>
  <c r="H27" i="8" s="1"/>
  <c r="F50" i="8"/>
  <c r="G50" i="8" s="1"/>
  <c r="H48" i="8" s="1"/>
  <c r="F41" i="8"/>
  <c r="G41" i="8" s="1"/>
  <c r="H39" i="8" s="1"/>
  <c r="F38" i="8"/>
  <c r="G38" i="8" s="1"/>
  <c r="H36" i="8" s="1"/>
  <c r="F23" i="8"/>
  <c r="G23" i="8" s="1"/>
  <c r="H21" i="8" s="1"/>
  <c r="F20" i="8"/>
  <c r="G20" i="8" s="1"/>
  <c r="H18" i="8" s="1"/>
  <c r="F47" i="8"/>
  <c r="G47" i="8" s="1"/>
  <c r="H45" i="8" s="1"/>
  <c r="F26" i="8"/>
  <c r="G26" i="8" s="1"/>
  <c r="H24" i="8" s="1"/>
  <c r="F44" i="8"/>
  <c r="G44" i="8" s="1"/>
  <c r="H42" i="8" s="1"/>
  <c r="F17" i="8"/>
  <c r="G17" i="8" s="1"/>
  <c r="H15" i="8" s="1"/>
  <c r="F11" i="8"/>
  <c r="G11" i="8" s="1"/>
  <c r="G10" i="8"/>
  <c r="G35" i="8"/>
  <c r="H33" i="8" s="1"/>
  <c r="N7" i="11"/>
  <c r="O7" i="11" s="1"/>
  <c r="N6" i="11"/>
  <c r="O6" i="11" s="1"/>
  <c r="G14" i="8"/>
  <c r="H12" i="8" s="1"/>
  <c r="G32" i="8"/>
  <c r="H30" i="8" s="1"/>
  <c r="B5" i="10"/>
  <c r="I56" i="8" l="1"/>
  <c r="H9" i="8"/>
  <c r="F37" i="10"/>
  <c r="J78" i="7"/>
  <c r="V8" i="10"/>
  <c r="V9" i="10"/>
  <c r="V10" i="10"/>
  <c r="V11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9" i="10"/>
  <c r="N18" i="10"/>
  <c r="N12" i="10"/>
  <c r="E17" i="10" s="1"/>
  <c r="N10" i="10"/>
  <c r="N8" i="10"/>
  <c r="D33" i="10"/>
  <c r="C33" i="10"/>
  <c r="E32" i="10"/>
  <c r="D32" i="10"/>
  <c r="C32" i="10"/>
  <c r="D30" i="10"/>
  <c r="C30" i="10"/>
  <c r="E29" i="10"/>
  <c r="D29" i="10"/>
  <c r="C29" i="10"/>
  <c r="D27" i="10"/>
  <c r="C27" i="10"/>
  <c r="C26" i="10"/>
  <c r="D24" i="10"/>
  <c r="C24" i="10"/>
  <c r="D23" i="10"/>
  <c r="C23" i="10"/>
  <c r="D21" i="10"/>
  <c r="C21" i="10"/>
  <c r="D20" i="10"/>
  <c r="C20" i="10"/>
  <c r="D18" i="10"/>
  <c r="C18" i="10"/>
  <c r="D17" i="10"/>
  <c r="C17" i="10"/>
  <c r="D15" i="10"/>
  <c r="C15" i="10"/>
  <c r="D14" i="10"/>
  <c r="C14" i="10"/>
  <c r="D12" i="10"/>
  <c r="C12" i="10"/>
  <c r="E11" i="10"/>
  <c r="D11" i="10"/>
  <c r="C11" i="10"/>
  <c r="F15" i="10" l="1"/>
  <c r="F27" i="10"/>
  <c r="F11" i="10"/>
  <c r="G11" i="10" s="1"/>
  <c r="H11" i="10" s="1"/>
  <c r="F21" i="10"/>
  <c r="F32" i="10"/>
  <c r="G32" i="10" s="1"/>
  <c r="H32" i="10" s="1"/>
  <c r="F26" i="10"/>
  <c r="G26" i="10" s="1"/>
  <c r="H26" i="10" s="1"/>
  <c r="F30" i="10"/>
  <c r="F33" i="10"/>
  <c r="F18" i="10"/>
  <c r="F20" i="10"/>
  <c r="G20" i="10" s="1"/>
  <c r="H20" i="10" s="1"/>
  <c r="F14" i="10"/>
  <c r="G14" i="10" s="1"/>
  <c r="H14" i="10" s="1"/>
  <c r="F29" i="10"/>
  <c r="G29" i="10" s="1"/>
  <c r="H29" i="10" s="1"/>
  <c r="F12" i="10"/>
  <c r="F17" i="10"/>
  <c r="G17" i="10" s="1"/>
  <c r="H17" i="10" s="1"/>
  <c r="F23" i="10"/>
  <c r="G23" i="10" s="1"/>
  <c r="H23" i="10" s="1"/>
  <c r="F24" i="10"/>
  <c r="A4" i="8"/>
  <c r="M5" i="8"/>
  <c r="M6" i="8"/>
  <c r="M7" i="8"/>
  <c r="M8" i="8"/>
  <c r="N8" i="8"/>
  <c r="A4" i="7"/>
  <c r="M5" i="7"/>
  <c r="M6" i="7"/>
  <c r="M7" i="7"/>
  <c r="M8" i="7"/>
  <c r="F87" i="7"/>
  <c r="D26" i="7"/>
  <c r="N8" i="7"/>
  <c r="N16" i="10"/>
  <c r="E23" i="10" s="1"/>
  <c r="N14" i="10"/>
  <c r="E20" i="10" s="1"/>
  <c r="N5" i="8"/>
  <c r="E72" i="7"/>
  <c r="E68" i="7"/>
  <c r="E64" i="7"/>
  <c r="E60" i="7"/>
  <c r="E56" i="7"/>
  <c r="E52" i="7"/>
  <c r="E48" i="7"/>
  <c r="E44" i="7"/>
  <c r="E36" i="7"/>
  <c r="C28" i="7"/>
  <c r="C24" i="7"/>
  <c r="C20" i="7"/>
  <c r="C16" i="7"/>
  <c r="C12" i="7"/>
  <c r="E55" i="7"/>
  <c r="F55" i="7" s="1"/>
  <c r="G55" i="7" s="1"/>
  <c r="E63" i="7"/>
  <c r="F63" i="7" s="1"/>
  <c r="G63" i="7" s="1"/>
  <c r="E67" i="7"/>
  <c r="F67" i="7" s="1"/>
  <c r="G67" i="7" s="1"/>
  <c r="E71" i="7"/>
  <c r="F71" i="7" s="1"/>
  <c r="G71" i="7" s="1"/>
  <c r="E59" i="7"/>
  <c r="F59" i="7" s="1"/>
  <c r="G59" i="7" s="1"/>
  <c r="E51" i="7"/>
  <c r="F51" i="7" s="1"/>
  <c r="G51" i="7" s="1"/>
  <c r="E47" i="7"/>
  <c r="F47" i="7" s="1"/>
  <c r="G47" i="7" s="1"/>
  <c r="E43" i="7"/>
  <c r="F43" i="7" s="1"/>
  <c r="G43" i="7" s="1"/>
  <c r="E39" i="7"/>
  <c r="F39" i="7" s="1"/>
  <c r="G39" i="7" s="1"/>
  <c r="E35" i="7"/>
  <c r="F35" i="7" s="1"/>
  <c r="G35" i="7" s="1"/>
  <c r="E31" i="7"/>
  <c r="F31" i="7" s="1"/>
  <c r="G31" i="7" s="1"/>
  <c r="E27" i="7"/>
  <c r="F27" i="7" s="1"/>
  <c r="G27" i="7" s="1"/>
  <c r="E23" i="7"/>
  <c r="F23" i="7" s="1"/>
  <c r="G23" i="7" s="1"/>
  <c r="E19" i="7"/>
  <c r="F19" i="7" s="1"/>
  <c r="G19" i="7" s="1"/>
  <c r="E15" i="7"/>
  <c r="F15" i="7" s="1"/>
  <c r="G15" i="7" s="1"/>
  <c r="E11" i="7"/>
  <c r="F11" i="7" s="1"/>
  <c r="G11" i="7" s="1"/>
  <c r="E10" i="7"/>
  <c r="F10" i="7" s="1"/>
  <c r="G10" i="7" s="1"/>
  <c r="I9" i="7"/>
  <c r="E14" i="7"/>
  <c r="F14" i="7" s="1"/>
  <c r="G14" i="7" s="1"/>
  <c r="I13" i="7"/>
  <c r="E18" i="7"/>
  <c r="F18" i="7" s="1"/>
  <c r="G18" i="7" s="1"/>
  <c r="E22" i="7"/>
  <c r="F22" i="7" s="1"/>
  <c r="G22" i="7" s="1"/>
  <c r="I21" i="7"/>
  <c r="E26" i="7"/>
  <c r="F26" i="7" s="1"/>
  <c r="G26" i="7" s="1"/>
  <c r="I25" i="7"/>
  <c r="E30" i="7"/>
  <c r="F30" i="7" s="1"/>
  <c r="G30" i="7" s="1"/>
  <c r="I29" i="7"/>
  <c r="E34" i="7"/>
  <c r="F34" i="7" s="1"/>
  <c r="G34" i="7" s="1"/>
  <c r="I33" i="7"/>
  <c r="E38" i="7"/>
  <c r="F38" i="7" s="1"/>
  <c r="G38" i="7" s="1"/>
  <c r="I37" i="7"/>
  <c r="E42" i="7"/>
  <c r="F42" i="7" s="1"/>
  <c r="G42" i="7" s="1"/>
  <c r="I41" i="7"/>
  <c r="E46" i="7"/>
  <c r="F46" i="7" s="1"/>
  <c r="G46" i="7" s="1"/>
  <c r="I45" i="7"/>
  <c r="E50" i="7"/>
  <c r="F50" i="7" s="1"/>
  <c r="G50" i="7" s="1"/>
  <c r="I49" i="7"/>
  <c r="E54" i="7"/>
  <c r="F54" i="7" s="1"/>
  <c r="G54" i="7" s="1"/>
  <c r="I53" i="7"/>
  <c r="E58" i="7"/>
  <c r="F58" i="7" s="1"/>
  <c r="G58" i="7" s="1"/>
  <c r="I57" i="7"/>
  <c r="E62" i="7"/>
  <c r="F62" i="7" s="1"/>
  <c r="G62" i="7" s="1"/>
  <c r="I61" i="7"/>
  <c r="E66" i="7"/>
  <c r="I65" i="7"/>
  <c r="E70" i="7"/>
  <c r="F70" i="7" s="1"/>
  <c r="G70" i="7" s="1"/>
  <c r="I69" i="7"/>
  <c r="E74" i="7"/>
  <c r="F74" i="7" s="1"/>
  <c r="G74" i="7" s="1"/>
  <c r="H73" i="7" s="1"/>
  <c r="E76" i="7"/>
  <c r="F76" i="7" s="1"/>
  <c r="G76" i="7" s="1"/>
  <c r="H75" i="7" s="1"/>
  <c r="E78" i="7"/>
  <c r="F78" i="7" s="1"/>
  <c r="G78" i="7" s="1"/>
  <c r="H77" i="7" s="1"/>
  <c r="E80" i="7"/>
  <c r="F80" i="7" s="1"/>
  <c r="G80" i="7" s="1"/>
  <c r="H79" i="7" s="1"/>
  <c r="H81" i="7"/>
  <c r="E82" i="7"/>
  <c r="F82" i="7" s="1"/>
  <c r="H58" i="8" l="1"/>
  <c r="H57" i="8"/>
  <c r="O5" i="8"/>
  <c r="O8" i="8"/>
  <c r="N5" i="7"/>
  <c r="O5" i="7" s="1"/>
  <c r="N7" i="7"/>
  <c r="O7" i="7" s="1"/>
  <c r="G68" i="7"/>
  <c r="O8" i="7"/>
  <c r="F16" i="7" s="1"/>
  <c r="G16" i="7" s="1"/>
  <c r="H13" i="7" s="1"/>
  <c r="N6" i="7"/>
  <c r="O6" i="7" s="1"/>
  <c r="N7" i="8"/>
  <c r="O7" i="8" s="1"/>
  <c r="O23" i="10"/>
  <c r="G15" i="10" s="1"/>
  <c r="H15" i="10" s="1"/>
  <c r="I13" i="10" s="1"/>
  <c r="N6" i="8"/>
  <c r="O6" i="8" s="1"/>
  <c r="G44" i="7"/>
  <c r="H41" i="7" s="1"/>
  <c r="E32" i="7"/>
  <c r="E40" i="7"/>
  <c r="F66" i="7"/>
  <c r="G66" i="7" s="1"/>
  <c r="J34" i="10"/>
  <c r="H34" i="10"/>
  <c r="E12" i="7"/>
  <c r="E20" i="7"/>
  <c r="E28" i="7"/>
  <c r="E16" i="7"/>
  <c r="E24" i="7"/>
  <c r="G27" i="10" l="1"/>
  <c r="H27" i="10" s="1"/>
  <c r="I25" i="10" s="1"/>
  <c r="G32" i="7"/>
  <c r="H29" i="7" s="1"/>
  <c r="G36" i="7"/>
  <c r="H33" i="7" s="1"/>
  <c r="G52" i="7"/>
  <c r="H49" i="7" s="1"/>
  <c r="G48" i="7"/>
  <c r="H45" i="7" s="1"/>
  <c r="G40" i="7"/>
  <c r="H37" i="7" s="1"/>
  <c r="G60" i="7"/>
  <c r="H57" i="7" s="1"/>
  <c r="F24" i="7"/>
  <c r="G24" i="7" s="1"/>
  <c r="H21" i="7" s="1"/>
  <c r="G64" i="7"/>
  <c r="H61" i="7" s="1"/>
  <c r="G21" i="10"/>
  <c r="H21" i="10" s="1"/>
  <c r="I19" i="10" s="1"/>
  <c r="G56" i="7"/>
  <c r="H53" i="7" s="1"/>
  <c r="G18" i="10"/>
  <c r="H18" i="10" s="1"/>
  <c r="I16" i="10" s="1"/>
  <c r="G72" i="7"/>
  <c r="H69" i="7" s="1"/>
  <c r="G30" i="10"/>
  <c r="H30" i="10" s="1"/>
  <c r="I28" i="10" s="1"/>
  <c r="I53" i="8"/>
  <c r="G57" i="8"/>
  <c r="G12" i="10"/>
  <c r="H12" i="10" s="1"/>
  <c r="I10" i="10" s="1"/>
  <c r="G33" i="10"/>
  <c r="H33" i="10" s="1"/>
  <c r="I31" i="10" s="1"/>
  <c r="H65" i="7"/>
  <c r="I57" i="8"/>
  <c r="I58" i="8"/>
  <c r="F12" i="7"/>
  <c r="G24" i="10"/>
  <c r="H24" i="10" s="1"/>
  <c r="I22" i="10" s="1"/>
  <c r="I34" i="10"/>
  <c r="F20" i="7"/>
  <c r="G20" i="7" s="1"/>
  <c r="H17" i="7" s="1"/>
  <c r="F28" i="7"/>
  <c r="G12" i="7" l="1"/>
  <c r="H9" i="7" s="1"/>
  <c r="P14" i="10"/>
  <c r="J35" i="10"/>
  <c r="K35" i="10" s="1"/>
  <c r="I59" i="8"/>
  <c r="G58" i="8"/>
  <c r="D11" i="11" s="1"/>
  <c r="C11" i="11"/>
  <c r="H35" i="10"/>
  <c r="G28" i="7"/>
  <c r="H84" i="7"/>
  <c r="I84" i="7" s="1"/>
  <c r="G84" i="7"/>
  <c r="G83" i="7"/>
  <c r="C12" i="11" s="1"/>
  <c r="H83" i="7"/>
  <c r="I83" i="7" s="1"/>
  <c r="E11" i="11" l="1"/>
  <c r="G59" i="8"/>
  <c r="J59" i="8" s="1"/>
  <c r="K84" i="7"/>
  <c r="D12" i="11"/>
  <c r="H36" i="10"/>
  <c r="I35" i="10"/>
  <c r="J84" i="7"/>
  <c r="H25" i="7"/>
  <c r="J81" i="7" s="1"/>
  <c r="G85" i="7"/>
  <c r="E12" i="11" l="1"/>
  <c r="E13" i="11" s="1"/>
  <c r="D13" i="11"/>
  <c r="F144" i="14"/>
  <c r="I148" i="14" s="1"/>
</calcChain>
</file>

<file path=xl/comments1.xml><?xml version="1.0" encoding="utf-8"?>
<comments xmlns="http://schemas.openxmlformats.org/spreadsheetml/2006/main">
  <authors>
    <author>NGOINHAXANH230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</rPr>
          <t xml:space="preserve">NGOINHAXANH230:NNHA VE SINH CHUNG DONG HO DIEN,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NGOINHAXANH230:</t>
        </r>
        <r>
          <rPr>
            <sz val="9"/>
            <color indexed="81"/>
            <rFont val="Tahoma"/>
            <family val="2"/>
          </rPr>
          <t xml:space="preserve">
NVS CHUNG DO HO DIEN
</t>
        </r>
      </text>
    </comment>
  </commentList>
</comments>
</file>

<file path=xl/comments2.xml><?xml version="1.0" encoding="utf-8"?>
<comments xmlns="http://schemas.openxmlformats.org/spreadsheetml/2006/main">
  <authors>
    <author>NGOINHAXANH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 xml:space="preserve">NGOINHAXANH:
THÁNG TÍNH TIỀN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NGOINHAXANH:</t>
        </r>
        <r>
          <rPr>
            <sz val="9"/>
            <color indexed="81"/>
            <rFont val="Tahoma"/>
            <family val="2"/>
          </rPr>
          <t xml:space="preserve">
TỔNG SỐ NGỪOI
</t>
        </r>
      </text>
    </comment>
  </commentList>
</comments>
</file>

<file path=xl/sharedStrings.xml><?xml version="1.0" encoding="utf-8"?>
<sst xmlns="http://schemas.openxmlformats.org/spreadsheetml/2006/main" count="1084" uniqueCount="366">
  <si>
    <r>
      <rPr>
        <b/>
        <sz val="13"/>
        <color indexed="18"/>
        <rFont val="Times New Roman"/>
        <family val="1"/>
      </rPr>
      <t>Đ</t>
    </r>
    <r>
      <rPr>
        <b/>
        <sz val="13"/>
        <color indexed="18"/>
        <rFont val="Times New Roman"/>
        <family val="1"/>
      </rPr>
      <t>ồng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ồ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</si>
  <si>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n</t>
    </r>
    <r>
      <rPr>
        <b/>
        <sz val="13"/>
        <color indexed="18"/>
        <rFont val="Times New Roman"/>
        <family val="1"/>
      </rPr>
      <t>g</t>
    </r>
    <r>
      <rPr>
        <b/>
        <sz val="13"/>
        <color indexed="18"/>
        <rFont val="Times New Roman"/>
        <family val="1"/>
      </rPr>
      <t>ư</t>
    </r>
    <r>
      <rPr>
        <b/>
        <sz val="13"/>
        <color indexed="18"/>
        <rFont val="Times New Roman"/>
        <family val="1"/>
      </rPr>
      <t>ời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</si>
  <si>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c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l</t>
    </r>
    <r>
      <rPr>
        <b/>
        <sz val="13"/>
        <color indexed="18"/>
        <rFont val="Times New Roman"/>
        <family val="1"/>
      </rPr>
      <t>ệch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</si>
  <si>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u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ụ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</si>
  <si>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à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ền</t>
    </r>
  </si>
  <si>
    <r>
      <rPr>
        <sz val="13"/>
        <color indexed="8"/>
        <rFont val="Times New Roman"/>
        <family val="1"/>
      </rPr>
      <t>1</t>
    </r>
  </si>
  <si>
    <t>Điện</t>
  </si>
  <si>
    <t>Nước</t>
  </si>
  <si>
    <t xml:space="preserve">Điện    </t>
  </si>
  <si>
    <t>gia dien</t>
  </si>
  <si>
    <t>gia nuoc</t>
  </si>
  <si>
    <t>Chỉ số
mới</t>
  </si>
  <si>
    <t>Chỉ số
cũ</t>
  </si>
  <si>
    <t>Tổng tiền điện trong tháng:</t>
  </si>
  <si>
    <t>Tổng tiền nước trong tháng</t>
  </si>
  <si>
    <t>Tổng tiền phải thu:</t>
  </si>
  <si>
    <t>PHÒNG TC-HC-QT</t>
  </si>
  <si>
    <t>LẬP BẢNG</t>
  </si>
  <si>
    <t>Tổng thu</t>
  </si>
  <si>
    <t>KHU VỰC NHẬP SỐ LIỆU</t>
  </si>
  <si>
    <t>CHỈ SỐ ĐIỆN NƯỚC</t>
  </si>
  <si>
    <t>PHÒNG</t>
  </si>
  <si>
    <t>SO NGƯỜI</t>
  </si>
  <si>
    <t>Đồng hồ</t>
  </si>
  <si>
    <t>Chỉ số cũ</t>
  </si>
  <si>
    <t>Chỉ số mới</t>
  </si>
  <si>
    <t>Số người</t>
  </si>
  <si>
    <t>Tiêu thụ</t>
  </si>
  <si>
    <t>Thành tiền</t>
  </si>
  <si>
    <t>Ghi chú</t>
  </si>
  <si>
    <t>NƯỚC</t>
  </si>
  <si>
    <t>N2</t>
  </si>
  <si>
    <t>N3</t>
  </si>
  <si>
    <t>Điện</t>
  </si>
  <si>
    <r>
      <t xml:space="preserve">Phòng  </t>
    </r>
    <r>
      <rPr>
        <b/>
        <sz val="13"/>
        <color indexed="18"/>
        <rFont val="Times New Roman"/>
        <family val="1"/>
      </rPr>
      <t xml:space="preserve">SỐ 5      </t>
    </r>
    <r>
      <rPr>
        <b/>
        <i/>
        <sz val="13"/>
        <color indexed="18"/>
        <rFont val="Times New Roman"/>
        <family val="1"/>
      </rPr>
      <t xml:space="preserve">Họ và tên:..................................................................... </t>
    </r>
    <r>
      <rPr>
        <b/>
        <i/>
        <sz val="11"/>
        <color indexed="18"/>
        <rFont val="Times New Roman"/>
        <family val="1"/>
      </rPr>
      <t xml:space="preserve">Biên lai:................ </t>
    </r>
    <r>
      <rPr>
        <b/>
        <i/>
        <sz val="13"/>
        <color indexed="18"/>
        <rFont val="Times New Roman"/>
        <family val="1"/>
      </rPr>
      <t xml:space="preserve">Tổng tiền:  </t>
    </r>
  </si>
  <si>
    <t>Đơn giá: Điện: 2.200 đồng/1 Kw</t>
  </si>
  <si>
    <t>Nước nhà tắm</t>
  </si>
  <si>
    <t>Nước Nhà VS</t>
  </si>
  <si>
    <r>
      <t xml:space="preserve">Phòng  </t>
    </r>
    <r>
      <rPr>
        <b/>
        <sz val="13"/>
        <color indexed="18"/>
        <rFont val="Times New Roman"/>
        <family val="1"/>
      </rPr>
      <t xml:space="preserve">K001     </t>
    </r>
    <r>
      <rPr>
        <b/>
        <i/>
        <sz val="13"/>
        <color indexed="18"/>
        <rFont val="Times New Roman"/>
        <family val="1"/>
      </rPr>
      <t>Họ và tên:...............................………………..</t>
    </r>
    <r>
      <rPr>
        <b/>
        <i/>
        <sz val="11"/>
        <color indexed="18"/>
        <rFont val="Times New Roman"/>
        <family val="1"/>
      </rPr>
      <t>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</si>
  <si>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</si>
  <si>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K005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</si>
  <si>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</si>
  <si>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K008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</si>
  <si>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</si>
  <si>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</si>
  <si>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K108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</si>
  <si>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</si>
  <si>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</si>
  <si>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</si>
  <si>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K201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</si>
  <si>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</si>
  <si>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</si>
  <si>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K204 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</si>
  <si>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K205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</si>
  <si>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</si>
  <si>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K207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</si>
  <si>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</si>
  <si>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</si>
  <si>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</si>
  <si>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</si>
  <si>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K001-k006</t>
  </si>
  <si>
    <t>chi so moi</t>
  </si>
  <si>
    <t>chenh lệch</t>
  </si>
  <si>
    <t>WC chung</t>
  </si>
  <si>
    <t>k007-k011</t>
  </si>
  <si>
    <t>k101-k106</t>
  </si>
  <si>
    <t>k107-k111</t>
  </si>
  <si>
    <t>k201-k206</t>
  </si>
  <si>
    <t>k207-k211</t>
  </si>
  <si>
    <t xml:space="preserve">TRƯỜNG CAO ĐẲNG BC CÔNG NGHỆ &amp; QTDN </t>
  </si>
  <si>
    <t xml:space="preserve">                                                                             CỘNG HÒA XÃ HỘI CHỦ NGHĨA VIỆT NAM </t>
  </si>
  <si>
    <r>
      <t xml:space="preserve">BAN </t>
    </r>
    <r>
      <rPr>
        <b/>
        <u/>
        <sz val="13"/>
        <rFont val="Times New Roman"/>
        <family val="1"/>
      </rPr>
      <t>QUẢN LÝ KÝ TÚC</t>
    </r>
    <r>
      <rPr>
        <b/>
        <sz val="13"/>
        <rFont val="Times New Roman"/>
        <family val="1"/>
      </rPr>
      <t xml:space="preserve"> XÁ</t>
    </r>
  </si>
  <si>
    <r>
      <t xml:space="preserve">                                       </t>
    </r>
    <r>
      <rPr>
        <u/>
        <sz val="13"/>
        <rFont val="Times New Roman"/>
        <family val="1"/>
      </rPr>
      <t xml:space="preserve">Độc lập - Tự do - Hạnh phúc </t>
    </r>
  </si>
  <si>
    <t xml:space="preserve">BẢNG KÊ SỈ SỐ SINH VIÊN KÝ TÚC XÁ </t>
  </si>
  <si>
    <t xml:space="preserve">PHÒNG </t>
  </si>
  <si>
    <t>S.SỐ</t>
  </si>
  <si>
    <t>C001</t>
  </si>
  <si>
    <t>C101</t>
  </si>
  <si>
    <t>C201</t>
  </si>
  <si>
    <t>K001</t>
  </si>
  <si>
    <t>K101</t>
  </si>
  <si>
    <t>K201</t>
  </si>
  <si>
    <t>N01</t>
  </si>
  <si>
    <t>C002</t>
  </si>
  <si>
    <t>C102</t>
  </si>
  <si>
    <t>C203</t>
  </si>
  <si>
    <t>K002</t>
  </si>
  <si>
    <t>K102</t>
  </si>
  <si>
    <t>K202</t>
  </si>
  <si>
    <t>N02</t>
  </si>
  <si>
    <t>C003</t>
  </si>
  <si>
    <t>C104</t>
  </si>
  <si>
    <t>C204</t>
  </si>
  <si>
    <t>K003</t>
  </si>
  <si>
    <t>K103</t>
  </si>
  <si>
    <t>K203</t>
  </si>
  <si>
    <t>N03</t>
  </si>
  <si>
    <t>C004</t>
  </si>
  <si>
    <t>C105</t>
  </si>
  <si>
    <t>C205</t>
  </si>
  <si>
    <t>K004</t>
  </si>
  <si>
    <t>K104</t>
  </si>
  <si>
    <t>K204</t>
  </si>
  <si>
    <t>N04</t>
  </si>
  <si>
    <t>C005</t>
  </si>
  <si>
    <t>C106</t>
  </si>
  <si>
    <t>C206</t>
  </si>
  <si>
    <t>K005</t>
  </si>
  <si>
    <t>K105</t>
  </si>
  <si>
    <t>K205</t>
  </si>
  <si>
    <t>N05</t>
  </si>
  <si>
    <t>C006</t>
  </si>
  <si>
    <t>C107</t>
  </si>
  <si>
    <t>C207</t>
  </si>
  <si>
    <t>K006</t>
  </si>
  <si>
    <t>K106</t>
  </si>
  <si>
    <t>K206</t>
  </si>
  <si>
    <t>N06</t>
  </si>
  <si>
    <t>C007</t>
  </si>
  <si>
    <t>C108</t>
  </si>
  <si>
    <t>C208</t>
  </si>
  <si>
    <t>K007</t>
  </si>
  <si>
    <t>K107</t>
  </si>
  <si>
    <t>K207</t>
  </si>
  <si>
    <t>C008</t>
  </si>
  <si>
    <t>C109</t>
  </si>
  <si>
    <t>K008</t>
  </si>
  <si>
    <t>K108</t>
  </si>
  <si>
    <t>K208</t>
  </si>
  <si>
    <t>C010</t>
  </si>
  <si>
    <t>C110</t>
  </si>
  <si>
    <t>K009</t>
  </si>
  <si>
    <t>K109</t>
  </si>
  <si>
    <t>K209</t>
  </si>
  <si>
    <t>C011</t>
  </si>
  <si>
    <t>C111</t>
  </si>
  <si>
    <t>K010</t>
  </si>
  <si>
    <t>K110</t>
  </si>
  <si>
    <t>K210</t>
  </si>
  <si>
    <t>C012</t>
  </si>
  <si>
    <t>C112</t>
  </si>
  <si>
    <t>K011</t>
  </si>
  <si>
    <t>K111</t>
  </si>
  <si>
    <t>K211</t>
  </si>
  <si>
    <t>C013</t>
  </si>
  <si>
    <t>C113</t>
  </si>
  <si>
    <t xml:space="preserve">    PHÓ TRƯỞNG BAN </t>
  </si>
  <si>
    <t>tong so người</t>
  </si>
  <si>
    <t>khối lượng/người</t>
  </si>
  <si>
    <t>chi so cu</t>
  </si>
  <si>
    <t>THÁNG</t>
  </si>
  <si>
    <t>DƯƠNG VĂN PHO</t>
  </si>
  <si>
    <t>NGUYỄN VĂN HÙNG</t>
  </si>
  <si>
    <t>TRƯỜNG CĐ BC CÔNG NGHỆ VÀ QTDN             CỘNG HÒA XÃ HỘI CHỦ NGHĨA VIỆT NAM</t>
  </si>
  <si>
    <t>CỘNG HÒA XÃ HỘI CHỦ NGHĨA VIỆT NAM</t>
  </si>
  <si>
    <t xml:space="preserve">           PHÒNG TC-HC-QT</t>
  </si>
  <si>
    <t>Độc Lập - Tự Do - Hạnh Phúc</t>
  </si>
  <si>
    <t xml:space="preserve">   Đơn giá: Điện: 2.200 đồng/kw</t>
  </si>
  <si>
    <t xml:space="preserve">                  Nước:15.000 đồng/khối</t>
  </si>
  <si>
    <t>N1</t>
  </si>
  <si>
    <t>Số chênh lệch</t>
  </si>
  <si>
    <t>N4</t>
  </si>
  <si>
    <t>N5</t>
  </si>
  <si>
    <t>N6</t>
  </si>
  <si>
    <t>N7</t>
  </si>
  <si>
    <t>N8</t>
  </si>
  <si>
    <t>Tổng cộng tiền điện</t>
  </si>
  <si>
    <t>Tổng cộng tiền nước</t>
  </si>
  <si>
    <t>TỔNG CỘNG</t>
  </si>
  <si>
    <t xml:space="preserve">Phòng N3     Họ và tên:………………………………..      Biên lai:…... . </t>
  </si>
  <si>
    <t xml:space="preserve">Phòng N5       Họ và tên:……………………… Biên lai:………… . </t>
  </si>
  <si>
    <t>Phòng N6       Họ và tên:……………………… Biên lai:…………      .</t>
  </si>
  <si>
    <t>Phòng N7      Họ và tên:……………………………...    Biên lai:…………      .</t>
  </si>
  <si>
    <t>Phòng N8      Họ và tên:……………………………...    Biên lai:…………      .</t>
  </si>
  <si>
    <t>Phòng N4     Họ và tên:………………….. …....    Biên lai:…… .</t>
  </si>
  <si>
    <t>Phòng N2     Họ và tên:…………………………..      Biên lai:…...   .</t>
  </si>
  <si>
    <t>Phòng N1       Họ và tên:………………………..Biên lai:………....</t>
  </si>
  <si>
    <t xml:space="preserve">Phòng  C201     Họ và tên:....................................................................... Biên lai:................  .   </t>
  </si>
  <si>
    <t xml:space="preserve">Phòng  C202     Họ và tên:....................................................................... Biên lai:................  .  </t>
  </si>
  <si>
    <t xml:space="preserve">Phòng  C203     Họ và tên:....................................................................... Biên lai:................  .  </t>
  </si>
  <si>
    <t xml:space="preserve">Phòng  C204     Họ và tên:....................................................................... Biên lai:................  </t>
  </si>
  <si>
    <t xml:space="preserve">Phòng  C205     Họ và tên:....................................................................... Biên lai:................  . </t>
  </si>
  <si>
    <t xml:space="preserve">Phòng  C206     Họ và tên:............................................................... …...Biên lai:................  . </t>
  </si>
  <si>
    <t xml:space="preserve">Phòng  C207    Họ và tên:....................................................................... Biên lai:................  . </t>
  </si>
  <si>
    <t xml:space="preserve">Phòng  C208    Họ và tên:....................................................................... Biên lai:................  . </t>
  </si>
  <si>
    <t>Nước: 15.000 đồng/1 Khối</t>
  </si>
  <si>
    <t>Hạn chót đóng tiền điện nước KTX: 20/5/2016</t>
  </si>
  <si>
    <t>Ngày cắt điện 21/5/2016</t>
  </si>
  <si>
    <t>Hạn cuối đóng tiền điện nước KTX: 20/5/2016</t>
  </si>
  <si>
    <r>
      <t xml:space="preserve">TRƯỜNG CAO ĐẲNG BC CÔNG NGHỆ VÀ QTDN   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</si>
  <si>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 xml:space="preserve">  PHÒNG TỔ CHỨC - HÀNH CHÁNH - QUẢN TRỊ               Độc lập - Tự do - Hạnh phúc</t>
  </si>
  <si>
    <t>C202</t>
  </si>
  <si>
    <r>
      <t xml:space="preserve">TRƯỜNG CAO ĐẲNG BC CÔNG NGHỆ VÀ QTDN     </t>
    </r>
    <r>
      <rPr>
        <b/>
        <sz val="12"/>
        <color indexed="8"/>
        <rFont val="Times New Roman"/>
        <family val="1"/>
      </rPr>
      <t>CỘNG HÒA XÃ HỘI CHỦ NGHĨA VIỆT NAM</t>
    </r>
  </si>
  <si>
    <t>PHÒNG TỔ CHỨC - HÀNH CHÁNH - QUẢN TRỊ                     Độc lập - Tự do - Hạnh phúc</t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</si>
  <si>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3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3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</si>
  <si>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2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</si>
  <si>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1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</si>
  <si>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4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/>
    </r>
  </si>
  <si>
    <t>4/2016</t>
  </si>
  <si>
    <t>C103</t>
  </si>
  <si>
    <t>C209</t>
  </si>
  <si>
    <t xml:space="preserve">Phòng  C112     Họ và tên:....................................................................... Biên lai:................  </t>
  </si>
  <si>
    <t xml:space="preserve">Phòng  C113     Họ và tên:....................................................................... Biên lai:................  </t>
  </si>
  <si>
    <t xml:space="preserve">Phòng  C108   Họ và tên:....................................................................... Biên lai:................  . </t>
  </si>
  <si>
    <t xml:space="preserve">Phòng  C109    Họ và tên:....................................................................... Biên lai:................  </t>
  </si>
  <si>
    <t xml:space="preserve">Phòng  C110   Họ và tên:....................................................................... Biên lai:................  . </t>
  </si>
  <si>
    <t xml:space="preserve">Phòng  C111    Họ và tên:....................................................................... Biên lai:................  </t>
  </si>
  <si>
    <t>NGUYỄN NGỌC MAI</t>
  </si>
  <si>
    <t>STT</t>
  </si>
  <si>
    <t>KHU VỰC</t>
  </si>
  <si>
    <t>TỔNG TIỀN ĐIỆN</t>
  </si>
  <si>
    <t>TỔNG TIỀN NƯỚC</t>
  </si>
  <si>
    <t>KHU C</t>
  </si>
  <si>
    <t>KHU K</t>
  </si>
  <si>
    <t xml:space="preserve">  PHÒNG TỔ CHỨC - HÀNH CHÁNH - QUẢN TRỊ              Độc lập - Tự do - Hạnh phúc</t>
  </si>
  <si>
    <r>
      <t xml:space="preserve">TRƯỜNG CAO ĐẲNG BC CÔNG NGHỆ VÀ QTDN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</si>
  <si>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>BAN QUẢN LÝ KTX</t>
  </si>
  <si>
    <t>ĐẶNG MẬU XÍ</t>
  </si>
  <si>
    <t xml:space="preserve">Phòng  C209    Họ và tên:....................................................................... Biên lai:................  . </t>
  </si>
  <si>
    <t>CÁC PHÒNG TỪ C108 ĐẾN C214</t>
  </si>
  <si>
    <t>CÁC PHÒNG TỪ K107 ĐẾN K211</t>
  </si>
  <si>
    <t>C212</t>
  </si>
  <si>
    <t xml:space="preserve">Phòng  N006    Họ và tên:....................................................................... Biên lai:................  . </t>
  </si>
  <si>
    <t>N006</t>
  </si>
  <si>
    <t xml:space="preserve">Phòng  C001     Họ và tên:...........................................................Biên lai:................ </t>
  </si>
  <si>
    <t xml:space="preserve">Phòng  C002     Họ và tên:...........................................................Biên lai:................ </t>
  </si>
  <si>
    <t xml:space="preserve">Phòng  C003     Họ và tên:...........................................................Biên lai:................  </t>
  </si>
  <si>
    <t xml:space="preserve">Phòng  C004     Họ và tên:...........................................................Biên lai:................  . </t>
  </si>
  <si>
    <t>Phòng  C005     Họ và tên:...........................................................Biên lai:................  .</t>
  </si>
  <si>
    <t xml:space="preserve">Phòng  C006     Họ và tên:...........................................................Biên lai:................  . </t>
  </si>
  <si>
    <t xml:space="preserve">Phòng  C007     Họ và tên:...........................................................Biên lai:................  </t>
  </si>
  <si>
    <t xml:space="preserve">Phòng  C008     Họ và tên:...........................................................Biên lai:................  </t>
  </si>
  <si>
    <t xml:space="preserve">Phòng  C010     Họ và tên:...........................................................Biên lai:................  .  </t>
  </si>
  <si>
    <t xml:space="preserve">Phòng  C011     Họ và tên:...........................................................Biên lai:................  </t>
  </si>
  <si>
    <t xml:space="preserve">Phòng  C012     Họ và tên:...........................................................Biên lai:................  </t>
  </si>
  <si>
    <t xml:space="preserve">Phòng  C013     Họ và tên:...........................................................Biên lai:................  </t>
  </si>
  <si>
    <t xml:space="preserve">Phòng  C101     Họ và tên:...........................................................Biên lai:................ </t>
  </si>
  <si>
    <t xml:space="preserve">Phòng  C102     Họ và tên:...........................................................Biên lai:................ </t>
  </si>
  <si>
    <t xml:space="preserve">Phòng  C103     Họ và tên:...........................................................Biên lai:................  </t>
  </si>
  <si>
    <t xml:space="preserve">Phòng  C104     Họ và tên:...........................................................Biên lai:................  . </t>
  </si>
  <si>
    <t>Phòng  C105     Họ và tên:...........................................................Biên lai:................  .</t>
  </si>
  <si>
    <t xml:space="preserve">Phòng  C106     Họ và tên:...........................................................Biên lai:................  . </t>
  </si>
  <si>
    <t xml:space="preserve">Phòng  C107     Họ và tên:...........................................................Biên lai:................  </t>
  </si>
  <si>
    <t xml:space="preserve">Phòng  C108   Họ và tên:...........................................................Biên lai:................  . </t>
  </si>
  <si>
    <t xml:space="preserve">Phòng  C109    Họ và tên:...........................................................Biên lai:................  </t>
  </si>
  <si>
    <t xml:space="preserve">Phòng  C110   Họ và tên:...........................................................Biên lai:................  . </t>
  </si>
  <si>
    <t xml:space="preserve">Phòng  C111    Họ và tên:...........................................................Biên lai:................  </t>
  </si>
  <si>
    <t xml:space="preserve">Phòng  C112     Họ và tên:...........................................................Biên lai:................  </t>
  </si>
  <si>
    <t xml:space="preserve">Phòng  C113     Họ và tên:...........................................................Biên lai:................  </t>
  </si>
  <si>
    <t xml:space="preserve">Phòng  C201     Họ và tên:...........................................................Biên lai:................  .   </t>
  </si>
  <si>
    <t xml:space="preserve">Phòng  C202     Họ và tên:...........................................................Biên lai:................  .  </t>
  </si>
  <si>
    <t xml:space="preserve">Phòng  C203     Họ và tên:...........................................................Biên lai:................  .  </t>
  </si>
  <si>
    <t xml:space="preserve">Phòng  C204     Họ và tên:...........................................................Biên lai:................  </t>
  </si>
  <si>
    <t xml:space="preserve">Phòng  C205     Họ và tên:...........................................................Biên lai:................  . </t>
  </si>
  <si>
    <t xml:space="preserve">Phòng  C207    Họ và tên:...........................................................Biên lai:................  . </t>
  </si>
  <si>
    <t xml:space="preserve">Phòng  C208    Họ và tên:...........................................................Biên lai:................  . </t>
  </si>
  <si>
    <t xml:space="preserve">Phòng  C209    Họ và tên:...........................................................Biên lai:................  . </t>
  </si>
  <si>
    <t xml:space="preserve">Phòng  C001     Họ và tên:............................................... Biên lai:................ </t>
  </si>
  <si>
    <t xml:space="preserve">Phòng  C002     Họ và tên:............................................... Biên lai:................ </t>
  </si>
  <si>
    <t xml:space="preserve">Phòng  C003     Họ và tên:............................................... Biên lai:................  </t>
  </si>
  <si>
    <t xml:space="preserve">Phòng  C004     Họ và tên:............................................... Biên lai:................  . </t>
  </si>
  <si>
    <t>Phòng  C005     Họ và tên:............................................... Biên lai:................  .</t>
  </si>
  <si>
    <t xml:space="preserve">Phòng  C006     Họ và tên:............................................... Biên lai:................  . </t>
  </si>
  <si>
    <t xml:space="preserve">Phòng  C007     Họ và tên:............................................... Biên lai:................  </t>
  </si>
  <si>
    <t xml:space="preserve">Phòng  C008     Họ và tên:............................................... Biên lai:................  </t>
  </si>
  <si>
    <t xml:space="preserve">Phòng  C010     Họ và tên:............................................... Biên lai:................  .  </t>
  </si>
  <si>
    <t xml:space="preserve">Phòng  C011     Họ và tên:............................................... Biên lai:................  </t>
  </si>
  <si>
    <t xml:space="preserve">Phòng  C012     Họ và tên:............................................... Biên lai:................  </t>
  </si>
  <si>
    <t xml:space="preserve">Phòng  C013     Họ và tên:............................................... Biên lai:................  </t>
  </si>
  <si>
    <t xml:space="preserve">Phòng  C101     Họ và tên:............................................... Biên lai:................ </t>
  </si>
  <si>
    <t xml:space="preserve">Phòng  C102     Họ và tên:............................................... Biên lai:................ </t>
  </si>
  <si>
    <t xml:space="preserve">Phòng  C103     Họ và tên:............................................... Biên lai:................  </t>
  </si>
  <si>
    <t xml:space="preserve">Phòng  C104     Họ và tên:............................................... Biên lai:................  . </t>
  </si>
  <si>
    <t>Phòng  C105     Họ và tên:............................................... Biên lai:................  .</t>
  </si>
  <si>
    <t xml:space="preserve">Phòng  C106     Họ và tên:............................................... Biên lai:................  . </t>
  </si>
  <si>
    <t xml:space="preserve">Phòng  C107     Họ và tên:............................................... Biên lai:................  </t>
  </si>
  <si>
    <t xml:space="preserve">Phòng  C108   Họ và tên:............................................... Biên lai:................  . </t>
  </si>
  <si>
    <t xml:space="preserve">Phòng  C109    Họ và tên:............................................... Biên lai:................  </t>
  </si>
  <si>
    <t xml:space="preserve">Phòng  C110   Họ và tên:............................................... Biên lai:................  . </t>
  </si>
  <si>
    <t xml:space="preserve">Phòng  C111    Họ và tên:............................................... Biên lai:................  </t>
  </si>
  <si>
    <t xml:space="preserve">Phòng  C112     Họ và tên:............................................... Biên lai:................  </t>
  </si>
  <si>
    <t xml:space="preserve">Phòng  C113     Họ và tên:............................................... Biên lai:................  </t>
  </si>
  <si>
    <t xml:space="preserve">Phòng  C201     Họ và tên:............................................... Biên lai:................  .   </t>
  </si>
  <si>
    <t xml:space="preserve">Phòng  C202     Họ và tên:............................................... Biên lai:................  .  </t>
  </si>
  <si>
    <t xml:space="preserve">Phòng  C203     Họ và tên:............................................... Biên lai:................  .  </t>
  </si>
  <si>
    <t xml:space="preserve">Phòng  C204     Họ và tên:............................................... Biên lai:................  </t>
  </si>
  <si>
    <t xml:space="preserve">Phòng  C205     Họ và tên:............................................... Biên lai:................  . </t>
  </si>
  <si>
    <t xml:space="preserve">Phòng  C206     Họ và tên:............................Biên lai:................  . </t>
  </si>
  <si>
    <t xml:space="preserve">Phòng  C207    Họ và tên:............................................... Biên lai:................  . </t>
  </si>
  <si>
    <t xml:space="preserve">Phòng  C208    Họ và tên:............................................... Biên lai:................  . </t>
  </si>
  <si>
    <t xml:space="preserve">Phòng  C209    Họ và tên:............................................... Biên lai:................  . </t>
  </si>
  <si>
    <t xml:space="preserve">Phòng  N006    Họ và tên:............................................... Biên lai:................  . </t>
  </si>
  <si>
    <t>C210</t>
  </si>
  <si>
    <t>C211</t>
  </si>
  <si>
    <t>C213</t>
  </si>
  <si>
    <t>C114</t>
  </si>
  <si>
    <t>C214</t>
  </si>
  <si>
    <t xml:space="preserve">Phòng  C114     Họ và tên:............................................... Biên lai:................  </t>
  </si>
  <si>
    <t xml:space="preserve">Phòng  C210    Họ và tên:............................................... Biên lai:................  . </t>
  </si>
  <si>
    <t xml:space="preserve">Phòng  C211    Họ và tên:............................................... Biên lai:................  . </t>
  </si>
  <si>
    <t xml:space="preserve">Phòng  C212    Họ và tên:............................................... Biên lai:................  . </t>
  </si>
  <si>
    <t xml:space="preserve">Phòng  C213    Họ và tên:............................................... Biên lai:................  . </t>
  </si>
  <si>
    <t xml:space="preserve">Phòng  C214    Họ và tên:............................................... Biên lai:................  . </t>
  </si>
  <si>
    <t xml:space="preserve">Phòng  C114    Họ và tên:...........................................................Biên lai:................  </t>
  </si>
  <si>
    <t xml:space="preserve">Phòng  C210    Họ và tên:...........................................................Biên lai:................  . </t>
  </si>
  <si>
    <t xml:space="preserve">Phòng  C211    Họ và tên:...........................................................Biên lai:................  . </t>
  </si>
  <si>
    <t xml:space="preserve">Phòng  C212    Họ và tên:...........................................................Biên lai:................  . </t>
  </si>
  <si>
    <t xml:space="preserve">Phòng  C213    Họ và tên:...........................................................Biên lai:................  . </t>
  </si>
  <si>
    <t xml:space="preserve">Phòng  C214    Họ và tên:...........................................................Biên lai:................  . </t>
  </si>
  <si>
    <t xml:space="preserve">Bếp Số 1    Họ và tên:............................................... Biên lai:................  . </t>
  </si>
  <si>
    <t xml:space="preserve">Bếp Số 3    Họ và tên:............................................... Biên lai:................  . </t>
  </si>
  <si>
    <t xml:space="preserve">Phòng  N008    Họ và tên:............................................... Biên lai:................  . </t>
  </si>
  <si>
    <t>N008</t>
  </si>
  <si>
    <t xml:space="preserve">Phòng  N008-1   Họ và tên:............................................... Biên lai:................  . </t>
  </si>
  <si>
    <t xml:space="preserve">Bếp số 1   Họ và tên:...........................................................Biên lai:................  . </t>
  </si>
  <si>
    <t xml:space="preserve">Bếp số 3    Họ và tên:...........................................................Biên lai:................  . </t>
  </si>
  <si>
    <t>Thành phố Hồ Chí Minh, ngày 27 tháng 09 năm 2017</t>
  </si>
  <si>
    <t>Nước nhà VS</t>
  </si>
  <si>
    <t>BÙI TRÍ TRIỂN</t>
  </si>
  <si>
    <t>Bùi Trí Triển</t>
  </si>
  <si>
    <r>
      <t xml:space="preserve">Phòng  </t>
    </r>
    <r>
      <rPr>
        <b/>
        <sz val="13"/>
        <color indexed="18"/>
        <rFont val="Times New Roman"/>
        <family val="1"/>
      </rPr>
      <t xml:space="preserve">K003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</si>
  <si>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</si>
  <si>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</si>
  <si>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</si>
  <si>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</si>
  <si>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</si>
  <si>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</si>
  <si>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</si>
  <si>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</si>
  <si>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</si>
  <si>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</si>
  <si>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</si>
  <si>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</si>
  <si>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</si>
  <si>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</si>
  <si>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</si>
  <si>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</si>
  <si>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</si>
  <si>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</si>
  <si>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</si>
  <si>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</si>
  <si>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</si>
  <si>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</si>
  <si>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</si>
  <si>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</si>
  <si>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</si>
  <si>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</si>
  <si>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</si>
  <si>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</si>
  <si>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K003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</si>
  <si>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</si>
  <si>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K004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</si>
  <si>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</si>
  <si>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</si>
  <si>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</si>
  <si>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</si>
  <si>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THÁNG: 12/2018</t>
  </si>
  <si>
    <t>Đơn giá: Điện: 2.900 đồng/1 Kw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</si>
  <si>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</si>
  <si>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THÁNG 9/2019</t>
  </si>
  <si>
    <t>,</t>
  </si>
  <si>
    <t>BẢNG TỔNG HỢP ĐIỆN - NƯỚC SINH HOẠT KÝ TÚC XÁ KHU C THÁNG 1-5/2020</t>
  </si>
  <si>
    <t>Nước: 18.000 đồng/1 Khối</t>
  </si>
  <si>
    <t>BẢNG TỔNG HỢP ĐIỆN - NƯỚC SINH HOẠT KÝ TÚC XÁ KHU K THÁNG 1-5/2019</t>
  </si>
  <si>
    <t>THÁNG 1-5/2019</t>
  </si>
  <si>
    <t xml:space="preserve"> TP. Hồ Chí Minh, ngày   tháng    năm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</si>
</sst>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mm/yyyy"/>
    <numFmt numFmtId="166" formatCode="mm/yy"/>
    <numFmt numFmtId="167" formatCode="_(* #,##0.00000_);_(* \(#,##0.00000\);_(* &quot;-&quot;??_);_(@_)"/>
  </numFmts>
  <fonts count="5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18"/>
      <name val="Times New Roman"/>
      <family val="1"/>
    </font>
    <font>
      <b/>
      <i/>
      <sz val="13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</font>
    <font>
      <sz val="12"/>
      <name val="VNI-Times"/>
    </font>
    <font>
      <b/>
      <sz val="11"/>
      <name val="Times New Roman"/>
      <family val="1"/>
    </font>
    <font>
      <b/>
      <u/>
      <sz val="11"/>
      <name val="VNI-Times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3"/>
      <name val="VNI-Times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9"/>
      <color indexed="81"/>
      <name val="Tahoma"/>
      <family val="2"/>
    </font>
    <font>
      <b/>
      <u/>
      <sz val="13"/>
      <name val="Times New Roman"/>
      <family val="1"/>
    </font>
    <font>
      <u/>
      <sz val="13"/>
      <name val="Times New Roman"/>
      <family val="1"/>
    </font>
    <font>
      <b/>
      <sz val="1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VNI-Times"/>
    </font>
    <font>
      <b/>
      <u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8">
    <xf numFmtId="0" fontId="0" fillId="0" borderId="0"/>
    <xf numFmtId="43" fontId="10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5">
    <xf numFmtId="0" fontId="0" fillId="0" borderId="0" xfId="0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1" fontId="10" fillId="0" borderId="0" xfId="1" applyNumberFormat="1" applyFont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1" fontId="9" fillId="0" borderId="2" xfId="1" applyNumberFormat="1" applyFont="1" applyBorder="1" applyAlignment="1">
      <alignment horizontal="right" vertical="top" wrapText="1"/>
    </xf>
    <xf numFmtId="164" fontId="9" fillId="0" borderId="2" xfId="1" applyNumberFormat="1" applyFont="1" applyBorder="1" applyAlignment="1">
      <alignment horizontal="right" vertical="top"/>
    </xf>
    <xf numFmtId="164" fontId="9" fillId="0" borderId="2" xfId="1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2" fontId="9" fillId="0" borderId="2" xfId="0" applyNumberFormat="1" applyFont="1" applyBorder="1" applyAlignment="1">
      <alignment horizontal="right" vertical="top" wrapText="1"/>
    </xf>
    <xf numFmtId="2" fontId="9" fillId="0" borderId="2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2" fontId="0" fillId="0" borderId="0" xfId="0" applyNumberFormat="1" applyAlignment="1">
      <alignment horizontal="right"/>
    </xf>
    <xf numFmtId="164" fontId="7" fillId="0" borderId="4" xfId="1" applyNumberFormat="1" applyFont="1" applyBorder="1" applyAlignment="1">
      <alignment vertical="top" wrapText="1"/>
    </xf>
    <xf numFmtId="164" fontId="7" fillId="0" borderId="1" xfId="1" applyNumberFormat="1" applyFont="1" applyBorder="1" applyAlignment="1">
      <alignment vertical="top"/>
    </xf>
    <xf numFmtId="164" fontId="7" fillId="0" borderId="0" xfId="1" applyNumberFormat="1" applyFont="1" applyBorder="1" applyAlignment="1">
      <alignment vertical="top"/>
    </xf>
    <xf numFmtId="164" fontId="0" fillId="0" borderId="0" xfId="0" applyNumberFormat="1"/>
    <xf numFmtId="0" fontId="18" fillId="0" borderId="0" xfId="0" applyFont="1"/>
    <xf numFmtId="0" fontId="15" fillId="0" borderId="0" xfId="2" applyAlignment="1">
      <alignment horizontal="center"/>
    </xf>
    <xf numFmtId="0" fontId="15" fillId="0" borderId="0" xfId="2"/>
    <xf numFmtId="0" fontId="15" fillId="0" borderId="0" xfId="2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19" fillId="0" borderId="0" xfId="2" applyFont="1" applyAlignme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2" fillId="0" borderId="7" xfId="2" applyFont="1" applyBorder="1" applyAlignment="1">
      <alignment vertical="center"/>
    </xf>
    <xf numFmtId="0" fontId="22" fillId="0" borderId="8" xfId="2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1" fontId="24" fillId="0" borderId="2" xfId="2" applyNumberFormat="1" applyFont="1" applyBorder="1" applyAlignment="1">
      <alignment horizontal="center" vertical="center"/>
    </xf>
    <xf numFmtId="3" fontId="24" fillId="0" borderId="2" xfId="2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0" xfId="2" applyFont="1" applyAlignment="1"/>
    <xf numFmtId="0" fontId="17" fillId="0" borderId="0" xfId="2" applyFont="1" applyAlignment="1"/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" fontId="6" fillId="0" borderId="2" xfId="1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164" fontId="10" fillId="0" borderId="0" xfId="1" applyNumberFormat="1"/>
    <xf numFmtId="164" fontId="10" fillId="0" borderId="10" xfId="1" applyNumberFormat="1" applyBorder="1" applyAlignment="1">
      <alignment horizontal="left" vertical="top"/>
    </xf>
    <xf numFmtId="164" fontId="10" fillId="0" borderId="2" xfId="1" applyNumberFormat="1" applyBorder="1" applyAlignment="1">
      <alignment horizontal="left" vertical="top"/>
    </xf>
    <xf numFmtId="164" fontId="10" fillId="0" borderId="0" xfId="1" applyNumberFormat="1" applyAlignment="1"/>
    <xf numFmtId="0" fontId="27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2" fontId="9" fillId="0" borderId="2" xfId="0" applyNumberFormat="1" applyFont="1" applyFill="1" applyBorder="1" applyAlignment="1">
      <alignment horizontal="right" vertical="top"/>
    </xf>
    <xf numFmtId="164" fontId="10" fillId="0" borderId="0" xfId="1" applyNumberFormat="1" applyFill="1"/>
    <xf numFmtId="0" fontId="0" fillId="0" borderId="0" xfId="0" applyFill="1"/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 wrapText="1"/>
    </xf>
    <xf numFmtId="2" fontId="9" fillId="0" borderId="2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1" applyNumberFormat="1" applyFont="1"/>
    <xf numFmtId="0" fontId="27" fillId="0" borderId="0" xfId="0" applyFont="1" applyAlignment="1"/>
    <xf numFmtId="0" fontId="31" fillId="0" borderId="0" xfId="0" applyFont="1" applyAlignment="1">
      <alignment horizontal="center"/>
    </xf>
    <xf numFmtId="164" fontId="27" fillId="0" borderId="0" xfId="1" applyNumberFormat="1" applyFont="1" applyAlignment="1">
      <alignment horizontal="center"/>
    </xf>
    <xf numFmtId="164" fontId="24" fillId="0" borderId="0" xfId="1" applyNumberFormat="1" applyFont="1" applyAlignment="1">
      <alignment horizontal="center"/>
    </xf>
    <xf numFmtId="1" fontId="0" fillId="0" borderId="0" xfId="0" applyNumberFormat="1"/>
    <xf numFmtId="164" fontId="32" fillId="0" borderId="2" xfId="1" applyNumberFormat="1" applyFont="1" applyBorder="1" applyAlignment="1">
      <alignment horizontal="right"/>
    </xf>
    <xf numFmtId="164" fontId="33" fillId="0" borderId="2" xfId="1" applyNumberFormat="1" applyFont="1" applyBorder="1"/>
    <xf numFmtId="0" fontId="34" fillId="0" borderId="0" xfId="0" applyFont="1"/>
    <xf numFmtId="3" fontId="34" fillId="0" borderId="0" xfId="0" applyNumberFormat="1" applyFont="1"/>
    <xf numFmtId="1" fontId="33" fillId="0" borderId="0" xfId="1" applyNumberFormat="1" applyFont="1" applyAlignment="1">
      <alignment horizontal="right" vertical="top"/>
    </xf>
    <xf numFmtId="0" fontId="34" fillId="0" borderId="0" xfId="0" applyFont="1" applyAlignment="1">
      <alignment horizontal="right"/>
    </xf>
    <xf numFmtId="2" fontId="34" fillId="0" borderId="0" xfId="0" applyNumberFormat="1" applyFont="1" applyAlignment="1">
      <alignment horizontal="right"/>
    </xf>
    <xf numFmtId="164" fontId="33" fillId="0" borderId="0" xfId="1" applyNumberFormat="1" applyFont="1" applyAlignment="1">
      <alignment horizontal="right"/>
    </xf>
    <xf numFmtId="164" fontId="33" fillId="0" borderId="0" xfId="1" applyNumberFormat="1" applyFont="1"/>
    <xf numFmtId="22" fontId="34" fillId="0" borderId="0" xfId="0" applyNumberFormat="1" applyFont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36" fillId="0" borderId="0" xfId="3" applyFont="1" applyAlignment="1"/>
    <xf numFmtId="0" fontId="16" fillId="0" borderId="0" xfId="2" applyFont="1" applyAlignment="1"/>
    <xf numFmtId="0" fontId="37" fillId="0" borderId="0" xfId="2" applyFont="1" applyAlignment="1"/>
    <xf numFmtId="0" fontId="20" fillId="0" borderId="13" xfId="0" applyFont="1" applyBorder="1" applyAlignment="1">
      <alignment horizontal="center" vertical="center"/>
    </xf>
    <xf numFmtId="3" fontId="22" fillId="0" borderId="13" xfId="2" applyNumberFormat="1" applyFont="1" applyBorder="1" applyAlignment="1">
      <alignment vertical="center"/>
    </xf>
    <xf numFmtId="2" fontId="24" fillId="0" borderId="2" xfId="2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4" fillId="0" borderId="2" xfId="1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2" fontId="23" fillId="0" borderId="2" xfId="2" applyNumberFormat="1" applyFont="1" applyBorder="1" applyAlignment="1">
      <alignment horizontal="center" vertical="center"/>
    </xf>
    <xf numFmtId="3" fontId="23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26" fillId="0" borderId="2" xfId="0" applyNumberFormat="1" applyFont="1" applyBorder="1"/>
    <xf numFmtId="0" fontId="26" fillId="0" borderId="2" xfId="0" applyFont="1" applyBorder="1"/>
    <xf numFmtId="0" fontId="0" fillId="0" borderId="2" xfId="0" applyBorder="1"/>
    <xf numFmtId="43" fontId="32" fillId="0" borderId="2" xfId="1" applyFont="1" applyBorder="1" applyAlignment="1">
      <alignment horizontal="right"/>
    </xf>
    <xf numFmtId="43" fontId="10" fillId="0" borderId="0" xfId="1" applyNumberFormat="1"/>
    <xf numFmtId="167" fontId="10" fillId="0" borderId="0" xfId="1" applyNumberFormat="1"/>
    <xf numFmtId="43" fontId="0" fillId="0" borderId="0" xfId="0" applyNumberFormat="1"/>
    <xf numFmtId="43" fontId="0" fillId="0" borderId="0" xfId="0" applyNumberFormat="1" applyAlignment="1"/>
    <xf numFmtId="0" fontId="11" fillId="0" borderId="0" xfId="0" applyFont="1" applyAlignment="1"/>
    <xf numFmtId="164" fontId="9" fillId="0" borderId="2" xfId="1" applyNumberFormat="1" applyFont="1" applyBorder="1" applyAlignment="1">
      <alignment horizontal="left" vertical="top" wrapText="1"/>
    </xf>
    <xf numFmtId="164" fontId="9" fillId="0" borderId="2" xfId="1" applyNumberFormat="1" applyFont="1" applyBorder="1" applyAlignment="1">
      <alignment horizontal="left" vertical="top"/>
    </xf>
    <xf numFmtId="164" fontId="9" fillId="0" borderId="7" xfId="1" applyNumberFormat="1" applyFont="1" applyBorder="1" applyAlignment="1">
      <alignment horizontal="left" vertical="top" wrapText="1"/>
    </xf>
    <xf numFmtId="164" fontId="9" fillId="0" borderId="7" xfId="1" applyNumberFormat="1" applyFont="1" applyBorder="1" applyAlignment="1">
      <alignment horizontal="left" vertical="top"/>
    </xf>
    <xf numFmtId="1" fontId="34" fillId="0" borderId="0" xfId="0" applyNumberFormat="1" applyFont="1"/>
    <xf numFmtId="0" fontId="41" fillId="0" borderId="0" xfId="0" applyFont="1" applyAlignment="1"/>
    <xf numFmtId="164" fontId="33" fillId="0" borderId="9" xfId="1" applyNumberFormat="1" applyFont="1" applyBorder="1" applyAlignment="1">
      <alignment horizontal="left" vertical="top"/>
    </xf>
    <xf numFmtId="164" fontId="33" fillId="0" borderId="10" xfId="1" applyNumberFormat="1" applyFont="1" applyBorder="1" applyAlignment="1">
      <alignment horizontal="left" vertical="top"/>
    </xf>
    <xf numFmtId="164" fontId="33" fillId="0" borderId="6" xfId="1" applyNumberFormat="1" applyFont="1" applyBorder="1" applyAlignment="1">
      <alignment horizontal="left" vertical="top"/>
    </xf>
    <xf numFmtId="164" fontId="33" fillId="0" borderId="11" xfId="1" applyNumberFormat="1" applyFont="1" applyBorder="1" applyAlignment="1">
      <alignment horizontal="left" vertical="top"/>
    </xf>
    <xf numFmtId="164" fontId="33" fillId="0" borderId="12" xfId="1" applyNumberFormat="1" applyFont="1" applyBorder="1" applyAlignment="1">
      <alignment horizontal="left" vertical="top"/>
    </xf>
    <xf numFmtId="0" fontId="34" fillId="0" borderId="0" xfId="0" applyFont="1" applyAlignment="1"/>
    <xf numFmtId="164" fontId="34" fillId="0" borderId="0" xfId="0" applyNumberFormat="1" applyFont="1"/>
    <xf numFmtId="0" fontId="43" fillId="0" borderId="0" xfId="0" applyFont="1" applyAlignment="1"/>
    <xf numFmtId="0" fontId="41" fillId="0" borderId="0" xfId="0" applyFont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/>
    <xf numFmtId="164" fontId="7" fillId="0" borderId="1" xfId="1" applyNumberFormat="1" applyFont="1" applyBorder="1" applyAlignment="1">
      <alignment wrapText="1"/>
    </xf>
    <xf numFmtId="164" fontId="7" fillId="0" borderId="3" xfId="1" applyNumberFormat="1" applyFont="1" applyBorder="1" applyAlignment="1"/>
    <xf numFmtId="164" fontId="9" fillId="0" borderId="7" xfId="1" applyNumberFormat="1" applyFont="1" applyBorder="1" applyAlignment="1">
      <alignment horizontal="right" vertical="top" wrapText="1"/>
    </xf>
    <xf numFmtId="164" fontId="9" fillId="0" borderId="7" xfId="1" applyNumberFormat="1" applyFont="1" applyBorder="1" applyAlignment="1">
      <alignment horizontal="right" vertical="top"/>
    </xf>
    <xf numFmtId="164" fontId="7" fillId="0" borderId="5" xfId="1" applyNumberFormat="1" applyFont="1" applyBorder="1" applyAlignment="1">
      <alignment wrapText="1"/>
    </xf>
    <xf numFmtId="164" fontId="10" fillId="0" borderId="11" xfId="1" applyNumberFormat="1" applyBorder="1" applyAlignment="1">
      <alignment horizontal="left" vertical="top"/>
    </xf>
    <xf numFmtId="164" fontId="10" fillId="0" borderId="12" xfId="1" applyNumberForma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164" fontId="9" fillId="0" borderId="7" xfId="1" applyNumberFormat="1" applyFont="1" applyFill="1" applyBorder="1" applyAlignment="1">
      <alignment horizontal="right" vertical="top"/>
    </xf>
    <xf numFmtId="164" fontId="9" fillId="0" borderId="7" xfId="1" applyNumberFormat="1" applyFont="1" applyFill="1" applyBorder="1" applyAlignment="1">
      <alignment horizontal="right" vertical="top" wrapText="1"/>
    </xf>
    <xf numFmtId="164" fontId="10" fillId="0" borderId="11" xfId="1" applyNumberFormat="1" applyFill="1" applyBorder="1" applyAlignment="1">
      <alignment horizontal="left" vertical="top"/>
    </xf>
    <xf numFmtId="164" fontId="10" fillId="0" borderId="12" xfId="1" applyNumberFormat="1" applyFill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2" fontId="7" fillId="0" borderId="1" xfId="0" applyNumberFormat="1" applyFont="1" applyBorder="1" applyAlignment="1">
      <alignment wrapText="1"/>
    </xf>
    <xf numFmtId="164" fontId="33" fillId="0" borderId="0" xfId="1" applyNumberFormat="1" applyFont="1" applyAlignment="1"/>
    <xf numFmtId="0" fontId="22" fillId="0" borderId="2" xfId="2" applyFont="1" applyBorder="1" applyAlignment="1"/>
    <xf numFmtId="0" fontId="22" fillId="0" borderId="2" xfId="2" applyFont="1" applyBorder="1" applyAlignment="1">
      <alignment horizontal="right"/>
    </xf>
    <xf numFmtId="3" fontId="22" fillId="0" borderId="13" xfId="2" applyNumberFormat="1" applyFont="1" applyBorder="1" applyAlignment="1"/>
    <xf numFmtId="0" fontId="22" fillId="0" borderId="0" xfId="0" applyFont="1" applyAlignme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0" fillId="0" borderId="0" xfId="0" applyNumberFormat="1"/>
    <xf numFmtId="2" fontId="9" fillId="2" borderId="2" xfId="0" applyNumberFormat="1" applyFont="1" applyFill="1" applyBorder="1" applyAlignment="1">
      <alignment horizontal="right" vertical="top"/>
    </xf>
    <xf numFmtId="164" fontId="9" fillId="0" borderId="2" xfId="1" applyNumberFormat="1" applyFont="1" applyFill="1" applyBorder="1" applyAlignment="1">
      <alignment horizontal="left" vertical="top" wrapText="1"/>
    </xf>
    <xf numFmtId="164" fontId="33" fillId="0" borderId="9" xfId="1" applyNumberFormat="1" applyFont="1" applyFill="1" applyBorder="1" applyAlignment="1">
      <alignment horizontal="left" vertical="top"/>
    </xf>
    <xf numFmtId="164" fontId="33" fillId="0" borderId="0" xfId="1" applyNumberFormat="1" applyFont="1" applyFill="1"/>
    <xf numFmtId="0" fontId="34" fillId="0" borderId="0" xfId="0" applyFont="1" applyFill="1" applyAlignment="1"/>
    <xf numFmtId="0" fontId="34" fillId="0" borderId="0" xfId="0" applyFont="1" applyFill="1"/>
    <xf numFmtId="164" fontId="9" fillId="0" borderId="2" xfId="1" applyNumberFormat="1" applyFont="1" applyFill="1" applyBorder="1" applyAlignment="1">
      <alignment horizontal="left" vertical="top"/>
    </xf>
    <xf numFmtId="164" fontId="33" fillId="0" borderId="10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164" fontId="33" fillId="0" borderId="0" xfId="1" applyNumberFormat="1" applyFont="1" applyFill="1" applyAlignment="1"/>
    <xf numFmtId="0" fontId="0" fillId="0" borderId="0" xfId="0" applyFill="1" applyAlignment="1"/>
    <xf numFmtId="164" fontId="33" fillId="0" borderId="6" xfId="1" applyNumberFormat="1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right" vertical="top"/>
    </xf>
    <xf numFmtId="164" fontId="9" fillId="0" borderId="5" xfId="1" applyNumberFormat="1" applyFont="1" applyFill="1" applyBorder="1" applyAlignment="1">
      <alignment horizontal="left" vertical="top"/>
    </xf>
    <xf numFmtId="0" fontId="42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34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/>
    <xf numFmtId="164" fontId="34" fillId="0" borderId="2" xfId="1" applyNumberFormat="1" applyFont="1" applyBorder="1"/>
    <xf numFmtId="164" fontId="45" fillId="0" borderId="2" xfId="0" applyNumberFormat="1" applyFont="1" applyBorder="1"/>
    <xf numFmtId="0" fontId="46" fillId="0" borderId="0" xfId="0" applyFont="1"/>
    <xf numFmtId="0" fontId="24" fillId="0" borderId="2" xfId="0" applyFont="1" applyFill="1" applyBorder="1" applyAlignment="1">
      <alignment horizontal="left" vertical="top"/>
    </xf>
    <xf numFmtId="43" fontId="34" fillId="0" borderId="0" xfId="1" applyFont="1" applyAlignment="1">
      <alignment horizontal="right"/>
    </xf>
    <xf numFmtId="0" fontId="7" fillId="0" borderId="3" xfId="0" applyFont="1" applyBorder="1" applyAlignment="1">
      <alignment wrapText="1"/>
    </xf>
    <xf numFmtId="164" fontId="33" fillId="0" borderId="12" xfId="1" applyNumberFormat="1" applyFont="1" applyFill="1" applyBorder="1" applyAlignment="1">
      <alignment horizontal="left" vertical="top"/>
    </xf>
    <xf numFmtId="164" fontId="35" fillId="0" borderId="0" xfId="1" applyNumberFormat="1" applyFont="1" applyBorder="1" applyAlignment="1"/>
    <xf numFmtId="2" fontId="45" fillId="0" borderId="0" xfId="0" applyNumberFormat="1" applyFont="1" applyAlignment="1"/>
    <xf numFmtId="2" fontId="32" fillId="0" borderId="7" xfId="0" applyNumberFormat="1" applyFont="1" applyBorder="1" applyAlignment="1"/>
    <xf numFmtId="2" fontId="32" fillId="0" borderId="8" xfId="0" applyNumberFormat="1" applyFont="1" applyBorder="1" applyAlignment="1"/>
    <xf numFmtId="0" fontId="34" fillId="0" borderId="18" xfId="0" applyFont="1" applyFill="1" applyBorder="1"/>
    <xf numFmtId="164" fontId="33" fillId="0" borderId="20" xfId="1" applyNumberFormat="1" applyFont="1" applyFill="1" applyBorder="1" applyAlignment="1">
      <alignment horizontal="left" vertical="top"/>
    </xf>
    <xf numFmtId="0" fontId="0" fillId="0" borderId="18" xfId="0" applyFill="1" applyBorder="1"/>
    <xf numFmtId="164" fontId="33" fillId="0" borderId="18" xfId="1" applyNumberFormat="1" applyFont="1" applyFill="1" applyBorder="1"/>
    <xf numFmtId="0" fontId="0" fillId="0" borderId="0" xfId="0"/>
    <xf numFmtId="0" fontId="0" fillId="0" borderId="0" xfId="0" applyAlignment="1"/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2" fontId="9" fillId="0" borderId="2" xfId="0" applyNumberFormat="1" applyFont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34" fillId="0" borderId="0" xfId="0" applyFont="1"/>
    <xf numFmtId="164" fontId="33" fillId="0" borderId="0" xfId="1" applyNumberFormat="1" applyFont="1"/>
    <xf numFmtId="164" fontId="9" fillId="0" borderId="2" xfId="1" applyNumberFormat="1" applyFont="1" applyBorder="1" applyAlignment="1">
      <alignment horizontal="left" vertical="top" wrapText="1"/>
    </xf>
    <xf numFmtId="164" fontId="33" fillId="0" borderId="9" xfId="1" applyNumberFormat="1" applyFont="1" applyBorder="1" applyAlignment="1">
      <alignment horizontal="left" vertical="top"/>
    </xf>
    <xf numFmtId="164" fontId="33" fillId="0" borderId="10" xfId="1" applyNumberFormat="1" applyFont="1" applyBorder="1" applyAlignment="1">
      <alignment horizontal="left" vertical="top"/>
    </xf>
    <xf numFmtId="0" fontId="34" fillId="0" borderId="0" xfId="0" applyFont="1" applyAlignment="1"/>
    <xf numFmtId="164" fontId="34" fillId="0" borderId="0" xfId="0" applyNumberFormat="1" applyFont="1"/>
    <xf numFmtId="0" fontId="7" fillId="0" borderId="1" xfId="0" applyFont="1" applyBorder="1" applyAlignment="1"/>
    <xf numFmtId="164" fontId="7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64" fontId="33" fillId="0" borderId="0" xfId="1" applyNumberFormat="1" applyFont="1" applyAlignment="1"/>
    <xf numFmtId="164" fontId="9" fillId="0" borderId="2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vertical="top"/>
    </xf>
    <xf numFmtId="2" fontId="9" fillId="0" borderId="12" xfId="0" applyNumberFormat="1" applyFont="1" applyBorder="1" applyAlignment="1">
      <alignment horizontal="right" vertical="top" wrapText="1"/>
    </xf>
    <xf numFmtId="164" fontId="7" fillId="0" borderId="11" xfId="1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164" fontId="9" fillId="0" borderId="7" xfId="1" applyNumberFormat="1" applyFont="1" applyFill="1" applyBorder="1" applyAlignment="1">
      <alignment horizontal="left" vertical="top" wrapText="1"/>
    </xf>
    <xf numFmtId="164" fontId="9" fillId="0" borderId="7" xfId="1" applyNumberFormat="1" applyFont="1" applyFill="1" applyBorder="1" applyAlignment="1">
      <alignment horizontal="left" vertical="top"/>
    </xf>
    <xf numFmtId="164" fontId="7" fillId="0" borderId="5" xfId="1" applyNumberFormat="1" applyFont="1" applyFill="1" applyBorder="1" applyAlignment="1">
      <alignment wrapText="1"/>
    </xf>
    <xf numFmtId="164" fontId="9" fillId="0" borderId="21" xfId="1" applyNumberFormat="1" applyFont="1" applyFill="1" applyBorder="1" applyAlignment="1">
      <alignment horizontal="left" vertical="top"/>
    </xf>
    <xf numFmtId="2" fontId="34" fillId="0" borderId="0" xfId="0" applyNumberFormat="1" applyFont="1" applyFill="1" applyAlignment="1">
      <alignment horizontal="right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/>
    </xf>
    <xf numFmtId="1" fontId="9" fillId="0" borderId="2" xfId="1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164" fontId="10" fillId="2" borderId="0" xfId="1" applyNumberFormat="1" applyFill="1" applyAlignment="1"/>
    <xf numFmtId="0" fontId="0" fillId="2" borderId="0" xfId="0" applyFill="1" applyAlignment="1"/>
    <xf numFmtId="164" fontId="10" fillId="2" borderId="0" xfId="1" applyNumberFormat="1" applyFill="1"/>
    <xf numFmtId="0" fontId="0" fillId="2" borderId="0" xfId="0" applyFill="1"/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/>
    <xf numFmtId="164" fontId="7" fillId="0" borderId="3" xfId="1" applyNumberFormat="1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vertical="top"/>
    </xf>
    <xf numFmtId="164" fontId="7" fillId="0" borderId="3" xfId="1" applyNumberFormat="1" applyFont="1" applyFill="1" applyBorder="1" applyAlignment="1">
      <alignment vertical="top"/>
    </xf>
    <xf numFmtId="164" fontId="7" fillId="0" borderId="5" xfId="1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/>
    </xf>
    <xf numFmtId="1" fontId="9" fillId="0" borderId="2" xfId="1" applyNumberFormat="1" applyFont="1" applyFill="1" applyBorder="1" applyAlignment="1">
      <alignment horizontal="center" vertical="center" wrapText="1"/>
    </xf>
    <xf numFmtId="164" fontId="33" fillId="0" borderId="11" xfId="1" applyNumberFormat="1" applyFont="1" applyFill="1" applyBorder="1" applyAlignment="1">
      <alignment horizontal="left" vertical="top"/>
    </xf>
    <xf numFmtId="164" fontId="33" fillId="0" borderId="22" xfId="1" applyNumberFormat="1" applyFont="1" applyFill="1" applyBorder="1" applyAlignment="1">
      <alignment horizontal="left" vertical="top"/>
    </xf>
    <xf numFmtId="164" fontId="7" fillId="0" borderId="1" xfId="1" applyNumberFormat="1" applyFont="1" applyFill="1" applyBorder="1" applyAlignment="1"/>
    <xf numFmtId="164" fontId="7" fillId="0" borderId="4" xfId="1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47" fillId="0" borderId="2" xfId="0" applyFont="1" applyBorder="1" applyAlignment="1">
      <alignment horizontal="center"/>
    </xf>
    <xf numFmtId="164" fontId="48" fillId="5" borderId="0" xfId="1" applyNumberFormat="1" applyFont="1" applyFill="1"/>
    <xf numFmtId="0" fontId="48" fillId="0" borderId="0" xfId="0" applyFont="1"/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9" fillId="0" borderId="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/>
    <xf numFmtId="0" fontId="24" fillId="0" borderId="2" xfId="16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 wrapText="1"/>
    </xf>
    <xf numFmtId="0" fontId="34" fillId="6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34" fillId="6" borderId="2" xfId="0" applyFont="1" applyFill="1" applyBorder="1" applyAlignment="1">
      <alignment horizontal="right" wrapText="1"/>
    </xf>
    <xf numFmtId="0" fontId="34" fillId="0" borderId="2" xfId="0" applyFont="1" applyBorder="1" applyAlignment="1">
      <alignment horizontal="right" wrapText="1"/>
    </xf>
    <xf numFmtId="0" fontId="24" fillId="0" borderId="2" xfId="4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1" fontId="9" fillId="0" borderId="2" xfId="1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 vertical="top"/>
    </xf>
    <xf numFmtId="2" fontId="32" fillId="0" borderId="7" xfId="0" applyNumberFormat="1" applyFont="1" applyBorder="1" applyAlignment="1">
      <alignment horizontal="center"/>
    </xf>
    <xf numFmtId="2" fontId="32" fillId="0" borderId="8" xfId="0" applyNumberFormat="1" applyFont="1" applyBorder="1" applyAlignment="1">
      <alignment horizontal="center"/>
    </xf>
    <xf numFmtId="2" fontId="32" fillId="0" borderId="13" xfId="0" applyNumberFormat="1" applyFont="1" applyBorder="1" applyAlignment="1">
      <alignment horizontal="center"/>
    </xf>
    <xf numFmtId="164" fontId="35" fillId="0" borderId="19" xfId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1" fontId="9" fillId="0" borderId="2" xfId="1" applyNumberFormat="1" applyFont="1" applyBorder="1" applyAlignment="1">
      <alignment horizontal="center" vertical="center" wrapText="1"/>
    </xf>
    <xf numFmtId="164" fontId="35" fillId="0" borderId="0" xfId="1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" fontId="9" fillId="0" borderId="5" xfId="1" applyNumberFormat="1" applyFont="1" applyBorder="1" applyAlignment="1">
      <alignment horizontal="center" vertical="center" wrapText="1"/>
    </xf>
    <xf numFmtId="1" fontId="9" fillId="0" borderId="12" xfId="1" applyNumberFormat="1" applyFont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 vertical="center" wrapText="1"/>
    </xf>
    <xf numFmtId="1" fontId="9" fillId="0" borderId="12" xfId="1" applyNumberFormat="1" applyFont="1" applyFill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 vertical="top" wrapText="1"/>
    </xf>
    <xf numFmtId="1" fontId="9" fillId="0" borderId="11" xfId="1" applyNumberFormat="1" applyFont="1" applyFill="1" applyBorder="1" applyAlignment="1">
      <alignment horizontal="center" vertical="top" wrapText="1"/>
    </xf>
    <xf numFmtId="1" fontId="9" fillId="0" borderId="12" xfId="1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1" fontId="9" fillId="0" borderId="11" xfId="1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top"/>
    </xf>
    <xf numFmtId="164" fontId="9" fillId="0" borderId="11" xfId="1" applyNumberFormat="1" applyFont="1" applyBorder="1" applyAlignment="1">
      <alignment horizontal="center" vertical="top"/>
    </xf>
    <xf numFmtId="164" fontId="9" fillId="0" borderId="12" xfId="1" applyNumberFormat="1" applyFont="1" applyBorder="1" applyAlignment="1">
      <alignment horizontal="center" vertical="top"/>
    </xf>
    <xf numFmtId="1" fontId="9" fillId="0" borderId="5" xfId="1" applyNumberFormat="1" applyFont="1" applyBorder="1" applyAlignment="1">
      <alignment horizontal="center" vertical="top" wrapText="1"/>
    </xf>
    <xf numFmtId="1" fontId="9" fillId="0" borderId="11" xfId="1" applyNumberFormat="1" applyFont="1" applyBorder="1" applyAlignment="1">
      <alignment horizontal="center" vertical="top" wrapText="1"/>
    </xf>
    <xf numFmtId="1" fontId="9" fillId="0" borderId="12" xfId="1" applyNumberFormat="1" applyFont="1" applyBorder="1" applyAlignment="1">
      <alignment horizontal="center" vertical="top" wrapText="1"/>
    </xf>
    <xf numFmtId="1" fontId="9" fillId="4" borderId="5" xfId="1" applyNumberFormat="1" applyFont="1" applyFill="1" applyBorder="1" applyAlignment="1">
      <alignment horizontal="center" vertical="top" wrapText="1"/>
    </xf>
    <xf numFmtId="1" fontId="9" fillId="4" borderId="11" xfId="1" applyNumberFormat="1" applyFont="1" applyFill="1" applyBorder="1" applyAlignment="1">
      <alignment horizontal="center" vertical="top" wrapText="1"/>
    </xf>
    <xf numFmtId="1" fontId="9" fillId="4" borderId="12" xfId="1" applyNumberFormat="1" applyFont="1" applyFill="1" applyBorder="1" applyAlignment="1">
      <alignment horizontal="center" vertical="top" wrapText="1"/>
    </xf>
    <xf numFmtId="164" fontId="35" fillId="0" borderId="0" xfId="1" applyNumberFormat="1" applyFont="1" applyAlignment="1">
      <alignment horizontal="center"/>
    </xf>
    <xf numFmtId="0" fontId="42" fillId="0" borderId="0" xfId="0" applyFont="1" applyAlignment="1">
      <alignment horizontal="center" wrapText="1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4" fillId="0" borderId="5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38" fillId="0" borderId="0" xfId="2" applyFont="1" applyAlignment="1">
      <alignment horizontal="right"/>
    </xf>
    <xf numFmtId="0" fontId="38" fillId="0" borderId="18" xfId="2" applyFont="1" applyBorder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3" xfId="0" applyFont="1" applyBorder="1" applyAlignment="1">
      <alignment horizontal="center"/>
    </xf>
  </cellXfs>
  <cellStyles count="18">
    <cellStyle name="Comma" xfId="1" builtinId="3"/>
    <cellStyle name="Comma 2" xfId="5"/>
    <cellStyle name="Comma 2 2" xfId="11"/>
    <cellStyle name="Comma 3" xfId="7"/>
    <cellStyle name="Comma 3 2" xfId="13"/>
    <cellStyle name="Comma 4" xfId="9"/>
    <cellStyle name="Comma 5" xfId="15"/>
    <cellStyle name="Comma 6" xfId="17"/>
    <cellStyle name="Normal" xfId="0" builtinId="0"/>
    <cellStyle name="Normal 2" xfId="4"/>
    <cellStyle name="Normal 2 2" xfId="10"/>
    <cellStyle name="Normal 3" xfId="6"/>
    <cellStyle name="Normal 3 2" xfId="12"/>
    <cellStyle name="Normal 4" xfId="8"/>
    <cellStyle name="Normal 5" xfId="14"/>
    <cellStyle name="Normal 6" xfId="16"/>
    <cellStyle name="Normal_Sheet1" xfId="3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4</xdr:col>
      <xdr:colOff>314325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990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219450" y="4381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4476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4</xdr:col>
      <xdr:colOff>314325</xdr:colOff>
      <xdr:row>2</xdr:row>
      <xdr:rowOff>47625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447675"/>
          <a:ext cx="2019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4343400" y="4381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209550</xdr:rowOff>
    </xdr:from>
    <xdr:to>
      <xdr:col>3</xdr:col>
      <xdr:colOff>38100</xdr:colOff>
      <xdr:row>2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7675" y="49530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85" zoomScaleNormal="85" workbookViewId="0">
      <selection activeCell="B13" sqref="B13"/>
    </sheetView>
  </sheetViews>
  <sheetFormatPr defaultColWidth="9.140625" defaultRowHeight="16.5" x14ac:dyDescent="0.25"/>
  <cols>
    <col min="1" max="1" width="8.42578125" style="65" customWidth="1"/>
    <col min="2" max="2" width="6.85546875" style="256" customWidth="1"/>
    <col min="3" max="3" width="9.5703125" style="65" customWidth="1"/>
    <col min="4" max="4" width="6.85546875" style="256" customWidth="1"/>
    <col min="5" max="5" width="10.140625" style="65" customWidth="1"/>
    <col min="6" max="6" width="8.7109375" style="256" customWidth="1"/>
    <col min="7" max="7" width="9.42578125" style="65" customWidth="1"/>
    <col min="8" max="8" width="7.5703125" style="256" customWidth="1"/>
    <col min="9" max="9" width="9.5703125" style="65" customWidth="1"/>
    <col min="10" max="10" width="6.7109375" style="65" customWidth="1"/>
    <col min="11" max="11" width="10.5703125" style="65" customWidth="1"/>
    <col min="12" max="12" width="9.5703125" style="65" customWidth="1"/>
    <col min="13" max="13" width="10.140625" style="65" customWidth="1"/>
    <col min="14" max="14" width="8.42578125" style="65" customWidth="1"/>
    <col min="15" max="15" width="7.42578125" style="66" customWidth="1"/>
    <col min="16" max="16" width="8.85546875" style="67" customWidth="1"/>
    <col min="17" max="17" width="13.5703125" style="66" customWidth="1"/>
    <col min="18" max="18" width="14.42578125" style="66" customWidth="1"/>
    <col min="19" max="19" width="14.42578125" style="67" customWidth="1"/>
    <col min="20" max="16384" width="9.140625" style="66"/>
  </cols>
  <sheetData>
    <row r="1" spans="1:29" x14ac:dyDescent="0.25">
      <c r="A1" s="64" t="s">
        <v>69</v>
      </c>
      <c r="C1" s="64"/>
      <c r="E1" s="64"/>
      <c r="G1" s="65" t="s">
        <v>70</v>
      </c>
    </row>
    <row r="2" spans="1:29" x14ac:dyDescent="0.25">
      <c r="B2" s="254" t="s">
        <v>71</v>
      </c>
      <c r="C2" s="68"/>
      <c r="D2" s="254"/>
      <c r="H2" s="256" t="s">
        <v>72</v>
      </c>
    </row>
    <row r="3" spans="1:29" x14ac:dyDescent="0.25">
      <c r="B3" s="254"/>
      <c r="C3" s="68"/>
      <c r="D3" s="254"/>
    </row>
    <row r="4" spans="1:29" ht="19.5" x14ac:dyDescent="0.3">
      <c r="E4" s="69"/>
      <c r="F4" s="255"/>
      <c r="G4" s="69"/>
      <c r="H4" s="255" t="s">
        <v>73</v>
      </c>
      <c r="I4" s="69"/>
      <c r="J4" s="69"/>
      <c r="K4" s="69"/>
      <c r="L4" s="69"/>
      <c r="M4" s="54"/>
    </row>
    <row r="5" spans="1:29" ht="19.5" x14ac:dyDescent="0.3">
      <c r="E5" s="69"/>
      <c r="F5" s="270" t="s">
        <v>356</v>
      </c>
      <c r="G5" s="270"/>
      <c r="H5" s="270"/>
      <c r="I5" s="270"/>
      <c r="J5" s="69"/>
      <c r="K5" s="69"/>
      <c r="L5" s="69"/>
      <c r="M5" s="54"/>
    </row>
    <row r="6" spans="1:29" ht="17.25" thickBot="1" x14ac:dyDescent="0.3">
      <c r="E6" s="54"/>
      <c r="F6" s="254"/>
      <c r="G6" s="54"/>
      <c r="H6" s="254"/>
      <c r="I6" s="54"/>
      <c r="J6" s="54"/>
      <c r="K6" s="54"/>
      <c r="L6" s="54"/>
      <c r="M6" s="54"/>
    </row>
    <row r="7" spans="1:29" x14ac:dyDescent="0.25">
      <c r="A7" s="258" t="s">
        <v>74</v>
      </c>
      <c r="B7" s="258" t="s">
        <v>75</v>
      </c>
      <c r="C7" s="258" t="s">
        <v>74</v>
      </c>
      <c r="D7" s="258" t="s">
        <v>75</v>
      </c>
      <c r="E7" s="258" t="s">
        <v>74</v>
      </c>
      <c r="F7" s="258" t="s">
        <v>75</v>
      </c>
      <c r="G7" s="258" t="s">
        <v>74</v>
      </c>
      <c r="H7" s="258" t="s">
        <v>75</v>
      </c>
      <c r="I7" s="258" t="s">
        <v>74</v>
      </c>
      <c r="J7" s="258" t="s">
        <v>75</v>
      </c>
      <c r="K7" s="259" t="s">
        <v>74</v>
      </c>
      <c r="L7" s="258" t="s">
        <v>75</v>
      </c>
      <c r="M7" s="259" t="s">
        <v>74</v>
      </c>
      <c r="N7" s="258" t="s">
        <v>75</v>
      </c>
      <c r="P7" s="66"/>
      <c r="S7" s="66"/>
    </row>
    <row r="8" spans="1:29" ht="18.75" x14ac:dyDescent="0.3">
      <c r="A8" s="260" t="s">
        <v>76</v>
      </c>
      <c r="B8" s="257">
        <v>7</v>
      </c>
      <c r="C8" s="261" t="s">
        <v>77</v>
      </c>
      <c r="D8" s="257">
        <v>6</v>
      </c>
      <c r="E8" s="261" t="s">
        <v>78</v>
      </c>
      <c r="F8" s="257">
        <v>5</v>
      </c>
      <c r="G8" s="261" t="s">
        <v>79</v>
      </c>
      <c r="H8" s="257">
        <v>6</v>
      </c>
      <c r="I8" s="261" t="s">
        <v>80</v>
      </c>
      <c r="J8" s="262"/>
      <c r="K8" s="261" t="s">
        <v>81</v>
      </c>
      <c r="L8" s="261">
        <v>0</v>
      </c>
      <c r="M8" s="261" t="s">
        <v>82</v>
      </c>
      <c r="N8" s="261">
        <v>0</v>
      </c>
      <c r="P8" s="250" t="s">
        <v>76</v>
      </c>
      <c r="Q8" s="250">
        <v>3</v>
      </c>
      <c r="R8" s="250" t="s">
        <v>77</v>
      </c>
      <c r="S8" s="250">
        <v>4</v>
      </c>
      <c r="T8" s="250" t="s">
        <v>78</v>
      </c>
      <c r="U8" s="250">
        <v>4</v>
      </c>
      <c r="V8" s="250" t="s">
        <v>86</v>
      </c>
      <c r="W8" s="250">
        <v>5</v>
      </c>
      <c r="X8" s="225"/>
      <c r="Y8" s="225">
        <v>0</v>
      </c>
      <c r="Z8" s="225" t="s">
        <v>81</v>
      </c>
      <c r="AA8" s="225">
        <v>6</v>
      </c>
      <c r="AB8" s="225" t="s">
        <v>82</v>
      </c>
      <c r="AC8" s="225">
        <v>0</v>
      </c>
    </row>
    <row r="9" spans="1:29" ht="18.75" x14ac:dyDescent="0.3">
      <c r="A9" s="260" t="s">
        <v>83</v>
      </c>
      <c r="B9" s="257">
        <v>8</v>
      </c>
      <c r="C9" s="261" t="s">
        <v>84</v>
      </c>
      <c r="D9" s="257">
        <v>4</v>
      </c>
      <c r="E9" s="261" t="s">
        <v>191</v>
      </c>
      <c r="F9" s="257">
        <v>5</v>
      </c>
      <c r="G9" s="261" t="s">
        <v>86</v>
      </c>
      <c r="H9" s="257">
        <v>5</v>
      </c>
      <c r="I9" s="261" t="s">
        <v>87</v>
      </c>
      <c r="J9" s="262"/>
      <c r="K9" s="261" t="s">
        <v>88</v>
      </c>
      <c r="L9" s="261">
        <v>0</v>
      </c>
      <c r="M9" s="261" t="s">
        <v>89</v>
      </c>
      <c r="N9" s="261">
        <v>0</v>
      </c>
      <c r="P9" s="250" t="s">
        <v>83</v>
      </c>
      <c r="Q9" s="250">
        <v>3</v>
      </c>
      <c r="R9" s="250" t="s">
        <v>84</v>
      </c>
      <c r="S9" s="250">
        <v>2</v>
      </c>
      <c r="T9" s="250" t="s">
        <v>191</v>
      </c>
      <c r="U9" s="250">
        <v>3</v>
      </c>
      <c r="V9" s="250" t="s">
        <v>107</v>
      </c>
      <c r="W9" s="250">
        <v>3</v>
      </c>
      <c r="X9" s="230"/>
      <c r="Y9" s="225">
        <v>0</v>
      </c>
      <c r="Z9" s="225" t="s">
        <v>88</v>
      </c>
      <c r="AA9" s="225">
        <v>6</v>
      </c>
      <c r="AB9" s="230" t="s">
        <v>89</v>
      </c>
      <c r="AC9" s="230">
        <v>0</v>
      </c>
    </row>
    <row r="10" spans="1:29" ht="18.75" x14ac:dyDescent="0.3">
      <c r="A10" s="260" t="s">
        <v>90</v>
      </c>
      <c r="B10" s="257">
        <v>6</v>
      </c>
      <c r="C10" s="261" t="s">
        <v>199</v>
      </c>
      <c r="D10" s="257">
        <v>0</v>
      </c>
      <c r="E10" s="261" t="s">
        <v>85</v>
      </c>
      <c r="F10" s="257">
        <v>6</v>
      </c>
      <c r="G10" s="261" t="s">
        <v>93</v>
      </c>
      <c r="H10" s="257">
        <v>11</v>
      </c>
      <c r="I10" s="261" t="s">
        <v>94</v>
      </c>
      <c r="J10" s="262"/>
      <c r="K10" s="261" t="s">
        <v>95</v>
      </c>
      <c r="L10" s="261">
        <v>0</v>
      </c>
      <c r="M10" s="261" t="s">
        <v>96</v>
      </c>
      <c r="N10" s="261">
        <v>0</v>
      </c>
      <c r="P10" s="250" t="s">
        <v>90</v>
      </c>
      <c r="Q10" s="250">
        <v>4</v>
      </c>
      <c r="R10" s="250" t="s">
        <v>199</v>
      </c>
      <c r="S10" s="250">
        <v>2</v>
      </c>
      <c r="T10" s="250" t="s">
        <v>85</v>
      </c>
      <c r="U10" s="250">
        <v>2</v>
      </c>
      <c r="V10" s="250" t="s">
        <v>114</v>
      </c>
      <c r="W10" s="250">
        <v>5</v>
      </c>
      <c r="X10" s="230"/>
      <c r="Y10" s="225">
        <v>0</v>
      </c>
      <c r="Z10" s="225" t="s">
        <v>95</v>
      </c>
      <c r="AA10" s="225">
        <v>0</v>
      </c>
      <c r="AB10" s="230" t="s">
        <v>96</v>
      </c>
      <c r="AC10" s="230">
        <v>0</v>
      </c>
    </row>
    <row r="11" spans="1:29" ht="18.75" x14ac:dyDescent="0.3">
      <c r="A11" s="260" t="s">
        <v>97</v>
      </c>
      <c r="B11" s="257">
        <v>7</v>
      </c>
      <c r="C11" s="261" t="s">
        <v>91</v>
      </c>
      <c r="D11" s="263">
        <v>0</v>
      </c>
      <c r="E11" s="261" t="s">
        <v>92</v>
      </c>
      <c r="F11" s="264">
        <v>0</v>
      </c>
      <c r="G11" s="261" t="s">
        <v>100</v>
      </c>
      <c r="H11" s="265"/>
      <c r="I11" s="261" t="s">
        <v>101</v>
      </c>
      <c r="J11" s="262"/>
      <c r="K11" s="261" t="s">
        <v>102</v>
      </c>
      <c r="L11" s="261">
        <v>0</v>
      </c>
      <c r="M11" s="261" t="s">
        <v>103</v>
      </c>
      <c r="N11" s="261">
        <v>0</v>
      </c>
      <c r="P11" s="250" t="s">
        <v>97</v>
      </c>
      <c r="Q11" s="250">
        <v>4</v>
      </c>
      <c r="R11" s="250" t="s">
        <v>91</v>
      </c>
      <c r="S11" s="250">
        <v>5</v>
      </c>
      <c r="T11" s="250" t="s">
        <v>92</v>
      </c>
      <c r="U11" s="250">
        <v>2</v>
      </c>
      <c r="V11" s="250" t="s">
        <v>126</v>
      </c>
      <c r="W11" s="250">
        <v>6</v>
      </c>
      <c r="X11" s="230"/>
      <c r="Y11" s="225">
        <v>0</v>
      </c>
      <c r="Z11" s="225" t="s">
        <v>102</v>
      </c>
      <c r="AA11" s="225">
        <v>6</v>
      </c>
      <c r="AB11" s="230" t="s">
        <v>103</v>
      </c>
      <c r="AC11" s="230">
        <v>0</v>
      </c>
    </row>
    <row r="12" spans="1:29" ht="18.75" x14ac:dyDescent="0.3">
      <c r="A12" s="260" t="s">
        <v>104</v>
      </c>
      <c r="B12" s="257">
        <v>0</v>
      </c>
      <c r="C12" s="261" t="s">
        <v>98</v>
      </c>
      <c r="D12" s="257">
        <v>6</v>
      </c>
      <c r="E12" s="261" t="s">
        <v>99</v>
      </c>
      <c r="F12" s="264">
        <v>0</v>
      </c>
      <c r="G12" s="261" t="s">
        <v>107</v>
      </c>
      <c r="H12" s="265"/>
      <c r="I12" s="261" t="s">
        <v>108</v>
      </c>
      <c r="J12" s="262"/>
      <c r="K12" s="261" t="s">
        <v>109</v>
      </c>
      <c r="L12" s="261">
        <v>0</v>
      </c>
      <c r="M12" s="261" t="s">
        <v>110</v>
      </c>
      <c r="N12" s="261">
        <v>0</v>
      </c>
      <c r="P12" s="250" t="s">
        <v>104</v>
      </c>
      <c r="Q12" s="250">
        <v>6</v>
      </c>
      <c r="R12" s="250" t="s">
        <v>98</v>
      </c>
      <c r="S12" s="250">
        <v>3</v>
      </c>
      <c r="T12" s="250" t="s">
        <v>99</v>
      </c>
      <c r="U12" s="250">
        <v>6</v>
      </c>
      <c r="V12" s="250" t="s">
        <v>141</v>
      </c>
      <c r="W12" s="250">
        <v>5</v>
      </c>
      <c r="X12" s="230"/>
      <c r="Y12" s="225">
        <v>4</v>
      </c>
      <c r="Z12" s="225" t="s">
        <v>109</v>
      </c>
      <c r="AA12" s="225">
        <v>4</v>
      </c>
      <c r="AB12" s="230" t="s">
        <v>110</v>
      </c>
      <c r="AC12" s="230">
        <v>0</v>
      </c>
    </row>
    <row r="13" spans="1:29" ht="18.75" x14ac:dyDescent="0.3">
      <c r="A13" s="260" t="s">
        <v>111</v>
      </c>
      <c r="B13" s="257">
        <v>7</v>
      </c>
      <c r="C13" s="261" t="s">
        <v>105</v>
      </c>
      <c r="D13" s="257">
        <v>0</v>
      </c>
      <c r="E13" s="261" t="s">
        <v>106</v>
      </c>
      <c r="F13" s="264">
        <v>5</v>
      </c>
      <c r="G13" s="261" t="s">
        <v>114</v>
      </c>
      <c r="H13" s="266"/>
      <c r="I13" s="261" t="s">
        <v>115</v>
      </c>
      <c r="J13" s="262"/>
      <c r="K13" s="261" t="s">
        <v>116</v>
      </c>
      <c r="L13" s="261">
        <v>0</v>
      </c>
      <c r="M13" s="261" t="s">
        <v>117</v>
      </c>
      <c r="N13" s="261">
        <v>0</v>
      </c>
      <c r="P13" s="250" t="s">
        <v>111</v>
      </c>
      <c r="Q13" s="250">
        <v>6</v>
      </c>
      <c r="R13" s="250" t="s">
        <v>105</v>
      </c>
      <c r="S13" s="250">
        <v>0</v>
      </c>
      <c r="T13" s="250" t="s">
        <v>106</v>
      </c>
      <c r="U13" s="250">
        <v>6</v>
      </c>
      <c r="V13" s="250"/>
      <c r="W13" s="250"/>
      <c r="X13" s="230"/>
      <c r="Y13" s="225">
        <v>4</v>
      </c>
      <c r="Z13" s="225" t="s">
        <v>116</v>
      </c>
      <c r="AA13" s="225">
        <v>0</v>
      </c>
      <c r="AB13" s="230" t="s">
        <v>117</v>
      </c>
      <c r="AC13" s="230">
        <v>0</v>
      </c>
    </row>
    <row r="14" spans="1:29" ht="18.75" x14ac:dyDescent="0.3">
      <c r="A14" s="260" t="s">
        <v>118</v>
      </c>
      <c r="B14" s="257">
        <v>8</v>
      </c>
      <c r="C14" s="261" t="s">
        <v>112</v>
      </c>
      <c r="D14" s="257">
        <v>5</v>
      </c>
      <c r="E14" s="261" t="s">
        <v>113</v>
      </c>
      <c r="F14" s="264">
        <v>0</v>
      </c>
      <c r="G14" s="261" t="s">
        <v>121</v>
      </c>
      <c r="H14" s="266"/>
      <c r="I14" s="261" t="s">
        <v>122</v>
      </c>
      <c r="J14" s="262"/>
      <c r="K14" s="261" t="s">
        <v>123</v>
      </c>
      <c r="L14" s="261">
        <v>0</v>
      </c>
      <c r="M14" s="261"/>
      <c r="N14" s="261"/>
      <c r="P14" s="250" t="s">
        <v>118</v>
      </c>
      <c r="Q14" s="250">
        <v>5</v>
      </c>
      <c r="R14" s="250" t="s">
        <v>112</v>
      </c>
      <c r="S14" s="250">
        <v>3</v>
      </c>
      <c r="T14" s="250" t="s">
        <v>113</v>
      </c>
      <c r="U14" s="250">
        <v>5</v>
      </c>
      <c r="V14" s="250"/>
      <c r="W14" s="250"/>
      <c r="X14" s="230"/>
      <c r="Y14" s="225">
        <v>4</v>
      </c>
      <c r="Z14" s="225" t="s">
        <v>123</v>
      </c>
      <c r="AA14" s="225">
        <v>2</v>
      </c>
      <c r="AB14" s="230"/>
      <c r="AC14" s="230"/>
    </row>
    <row r="15" spans="1:29" ht="18.75" x14ac:dyDescent="0.3">
      <c r="A15" s="260" t="s">
        <v>124</v>
      </c>
      <c r="B15" s="257">
        <v>8</v>
      </c>
      <c r="C15" s="261" t="s">
        <v>119</v>
      </c>
      <c r="D15" s="257">
        <v>5</v>
      </c>
      <c r="E15" s="261" t="s">
        <v>120</v>
      </c>
      <c r="F15" s="264">
        <v>0</v>
      </c>
      <c r="G15" s="261" t="s">
        <v>126</v>
      </c>
      <c r="H15" s="266"/>
      <c r="I15" s="261" t="s">
        <v>127</v>
      </c>
      <c r="J15" s="262"/>
      <c r="K15" s="261" t="s">
        <v>128</v>
      </c>
      <c r="L15" s="261">
        <v>0</v>
      </c>
      <c r="M15" s="261"/>
      <c r="N15" s="261"/>
      <c r="P15" s="250" t="s">
        <v>124</v>
      </c>
      <c r="Q15" s="250">
        <v>3</v>
      </c>
      <c r="R15" s="250" t="s">
        <v>119</v>
      </c>
      <c r="S15" s="250">
        <v>5</v>
      </c>
      <c r="T15" s="250" t="s">
        <v>120</v>
      </c>
      <c r="U15" s="250">
        <v>4</v>
      </c>
      <c r="V15" s="250"/>
      <c r="W15" s="250"/>
      <c r="X15" s="230"/>
      <c r="Y15" s="225">
        <v>4</v>
      </c>
      <c r="Z15" s="225" t="s">
        <v>128</v>
      </c>
      <c r="AA15" s="225">
        <v>7</v>
      </c>
      <c r="AB15" s="230"/>
      <c r="AC15" s="230"/>
    </row>
    <row r="16" spans="1:29" ht="18.75" x14ac:dyDescent="0.3">
      <c r="A16" s="260" t="s">
        <v>129</v>
      </c>
      <c r="B16" s="257">
        <v>8</v>
      </c>
      <c r="C16" s="261" t="s">
        <v>125</v>
      </c>
      <c r="D16" s="257">
        <v>5</v>
      </c>
      <c r="E16" s="261" t="s">
        <v>200</v>
      </c>
      <c r="F16" s="264">
        <v>0</v>
      </c>
      <c r="G16" s="261" t="s">
        <v>131</v>
      </c>
      <c r="H16" s="266"/>
      <c r="I16" s="261" t="s">
        <v>132</v>
      </c>
      <c r="J16" s="262"/>
      <c r="K16" s="261" t="s">
        <v>133</v>
      </c>
      <c r="L16" s="261">
        <v>0</v>
      </c>
      <c r="M16" s="261"/>
      <c r="N16" s="261"/>
      <c r="P16" s="250" t="s">
        <v>129</v>
      </c>
      <c r="Q16" s="250">
        <v>4</v>
      </c>
      <c r="R16" s="250" t="s">
        <v>125</v>
      </c>
      <c r="S16" s="250">
        <v>5</v>
      </c>
      <c r="T16" s="250" t="s">
        <v>200</v>
      </c>
      <c r="U16" s="250">
        <v>5</v>
      </c>
      <c r="V16" s="250"/>
      <c r="W16" s="250"/>
      <c r="X16" s="230"/>
      <c r="Y16" s="225">
        <v>0</v>
      </c>
      <c r="Z16" s="225" t="s">
        <v>133</v>
      </c>
      <c r="AA16" s="225">
        <v>0</v>
      </c>
      <c r="AB16" s="230"/>
      <c r="AC16" s="230"/>
    </row>
    <row r="17" spans="1:29" ht="18.75" x14ac:dyDescent="0.3">
      <c r="A17" s="260" t="s">
        <v>134</v>
      </c>
      <c r="B17" s="257">
        <v>7</v>
      </c>
      <c r="C17" s="261" t="s">
        <v>130</v>
      </c>
      <c r="D17" s="257">
        <v>5</v>
      </c>
      <c r="E17" s="261" t="s">
        <v>292</v>
      </c>
      <c r="F17" s="264">
        <v>0</v>
      </c>
      <c r="G17" s="261" t="s">
        <v>136</v>
      </c>
      <c r="H17" s="266"/>
      <c r="I17" s="261" t="s">
        <v>137</v>
      </c>
      <c r="J17" s="262"/>
      <c r="K17" s="261" t="s">
        <v>138</v>
      </c>
      <c r="L17" s="261">
        <v>0</v>
      </c>
      <c r="M17" s="261"/>
      <c r="N17" s="261"/>
      <c r="P17" s="250" t="s">
        <v>134</v>
      </c>
      <c r="Q17" s="250">
        <v>3</v>
      </c>
      <c r="R17" s="250" t="s">
        <v>130</v>
      </c>
      <c r="S17" s="250">
        <v>6</v>
      </c>
      <c r="T17" s="250" t="s">
        <v>292</v>
      </c>
      <c r="U17" s="250">
        <v>4</v>
      </c>
      <c r="V17" s="250"/>
      <c r="W17" s="250"/>
      <c r="X17" s="230"/>
      <c r="Y17" s="225">
        <v>0</v>
      </c>
      <c r="Z17" s="225" t="s">
        <v>138</v>
      </c>
      <c r="AA17" s="225">
        <v>0</v>
      </c>
      <c r="AB17" s="230"/>
      <c r="AC17" s="230"/>
    </row>
    <row r="18" spans="1:29" ht="18.75" x14ac:dyDescent="0.3">
      <c r="A18" s="260" t="s">
        <v>139</v>
      </c>
      <c r="B18" s="257">
        <v>8</v>
      </c>
      <c r="C18" s="261" t="s">
        <v>135</v>
      </c>
      <c r="D18" s="257">
        <v>6</v>
      </c>
      <c r="E18" s="261" t="s">
        <v>293</v>
      </c>
      <c r="F18" s="264">
        <v>0</v>
      </c>
      <c r="G18" s="261" t="s">
        <v>141</v>
      </c>
      <c r="H18" s="266"/>
      <c r="I18" s="261" t="s">
        <v>142</v>
      </c>
      <c r="J18" s="262"/>
      <c r="K18" s="261" t="s">
        <v>143</v>
      </c>
      <c r="L18" s="261">
        <v>0</v>
      </c>
      <c r="M18" s="261"/>
      <c r="N18" s="261"/>
      <c r="P18" s="250" t="s">
        <v>139</v>
      </c>
      <c r="Q18" s="250">
        <v>5</v>
      </c>
      <c r="R18" s="250" t="s">
        <v>135</v>
      </c>
      <c r="S18" s="250">
        <v>4</v>
      </c>
      <c r="T18" s="250" t="s">
        <v>293</v>
      </c>
      <c r="U18" s="250">
        <v>6</v>
      </c>
      <c r="V18" s="250"/>
      <c r="W18" s="250"/>
      <c r="X18" s="230"/>
      <c r="Y18" s="225">
        <v>6</v>
      </c>
      <c r="Z18" s="225" t="s">
        <v>143</v>
      </c>
      <c r="AA18" s="225">
        <v>4</v>
      </c>
      <c r="AB18" s="230"/>
      <c r="AC18" s="230"/>
    </row>
    <row r="19" spans="1:29" ht="18.75" x14ac:dyDescent="0.3">
      <c r="A19" s="260" t="s">
        <v>144</v>
      </c>
      <c r="B19" s="257">
        <v>8</v>
      </c>
      <c r="C19" s="261" t="s">
        <v>140</v>
      </c>
      <c r="D19" s="257">
        <v>6</v>
      </c>
      <c r="E19" s="261" t="s">
        <v>221</v>
      </c>
      <c r="F19" s="264">
        <v>0</v>
      </c>
      <c r="G19" s="261"/>
      <c r="H19" s="261"/>
      <c r="I19" s="261"/>
      <c r="J19" s="261"/>
      <c r="K19" s="261"/>
      <c r="L19" s="261"/>
      <c r="M19" s="261"/>
      <c r="N19" s="261"/>
      <c r="P19" s="250" t="s">
        <v>144</v>
      </c>
      <c r="Q19" s="250">
        <v>4</v>
      </c>
      <c r="R19" s="250" t="s">
        <v>140</v>
      </c>
      <c r="S19" s="250">
        <v>5</v>
      </c>
      <c r="T19" s="250" t="s">
        <v>221</v>
      </c>
      <c r="U19" s="250">
        <v>0</v>
      </c>
      <c r="V19" s="250"/>
      <c r="W19" s="250"/>
      <c r="X19" s="230"/>
      <c r="Y19" s="230"/>
      <c r="Z19" s="230"/>
      <c r="AA19" s="230"/>
      <c r="AB19" s="230"/>
      <c r="AC19" s="230"/>
    </row>
    <row r="20" spans="1:29" ht="18.75" x14ac:dyDescent="0.3">
      <c r="A20" s="260"/>
      <c r="B20" s="261"/>
      <c r="C20" s="261" t="s">
        <v>145</v>
      </c>
      <c r="D20" s="257">
        <v>5</v>
      </c>
      <c r="E20" s="261" t="s">
        <v>294</v>
      </c>
      <c r="F20" s="264">
        <v>0</v>
      </c>
      <c r="G20" s="261"/>
      <c r="H20" s="261"/>
      <c r="I20" s="261"/>
      <c r="J20" s="261"/>
      <c r="K20" s="261"/>
      <c r="L20" s="261"/>
      <c r="M20" s="261"/>
      <c r="N20" s="261"/>
      <c r="P20" s="250"/>
      <c r="Q20" s="250"/>
      <c r="R20" s="250" t="s">
        <v>145</v>
      </c>
      <c r="S20" s="250">
        <v>3</v>
      </c>
      <c r="T20" s="250" t="s">
        <v>294</v>
      </c>
      <c r="U20" s="250">
        <v>6</v>
      </c>
      <c r="V20" s="250"/>
      <c r="W20" s="250"/>
      <c r="X20" s="230"/>
      <c r="Y20" s="230"/>
      <c r="Z20" s="230"/>
      <c r="AA20" s="230"/>
      <c r="AB20" s="230"/>
      <c r="AC20" s="230"/>
    </row>
    <row r="21" spans="1:29" ht="19.5" thickBot="1" x14ac:dyDescent="0.35">
      <c r="A21" s="260"/>
      <c r="B21" s="261"/>
      <c r="C21" s="261" t="s">
        <v>295</v>
      </c>
      <c r="D21" s="257">
        <v>7</v>
      </c>
      <c r="E21" s="261" t="s">
        <v>296</v>
      </c>
      <c r="F21" s="264">
        <v>5</v>
      </c>
      <c r="G21" s="261"/>
      <c r="H21" s="261"/>
      <c r="I21" s="261"/>
      <c r="J21" s="261"/>
      <c r="K21" s="261"/>
      <c r="L21" s="261"/>
      <c r="M21" s="261"/>
      <c r="N21" s="261"/>
      <c r="P21" s="250"/>
      <c r="Q21" s="250"/>
      <c r="R21" s="250" t="s">
        <v>295</v>
      </c>
      <c r="S21" s="250">
        <v>7</v>
      </c>
      <c r="T21" s="250" t="s">
        <v>296</v>
      </c>
      <c r="U21" s="250">
        <v>8</v>
      </c>
      <c r="V21" s="250"/>
      <c r="W21" s="250"/>
      <c r="X21" s="231"/>
      <c r="Y21" s="231"/>
      <c r="Z21" s="231"/>
      <c r="AA21" s="231"/>
      <c r="AB21" s="231"/>
      <c r="AC21" s="231"/>
    </row>
    <row r="22" spans="1:29" x14ac:dyDescent="0.25">
      <c r="A22" s="271"/>
      <c r="B22" s="271"/>
      <c r="C22" s="261"/>
      <c r="D22" s="261"/>
      <c r="E22" s="267" t="s">
        <v>223</v>
      </c>
      <c r="F22" s="261">
        <v>1</v>
      </c>
      <c r="G22" s="261"/>
      <c r="H22" s="261"/>
      <c r="I22" s="261"/>
      <c r="J22" s="261"/>
      <c r="K22" s="261"/>
      <c r="L22" s="261"/>
      <c r="M22" s="261"/>
      <c r="N22" s="261"/>
      <c r="P22" s="66"/>
      <c r="S22" s="66"/>
    </row>
    <row r="23" spans="1:29" x14ac:dyDescent="0.25">
      <c r="A23" s="268"/>
      <c r="B23" s="268"/>
      <c r="C23" s="261"/>
      <c r="D23" s="261"/>
      <c r="E23" s="267" t="s">
        <v>312</v>
      </c>
      <c r="F23" s="261">
        <v>1</v>
      </c>
      <c r="G23" s="261"/>
      <c r="H23" s="261"/>
      <c r="I23" s="261"/>
      <c r="J23" s="261"/>
      <c r="K23" s="261"/>
      <c r="L23" s="261"/>
      <c r="M23" s="261"/>
      <c r="N23" s="261"/>
      <c r="P23" s="66"/>
      <c r="S23" s="66"/>
    </row>
    <row r="24" spans="1:29" x14ac:dyDescent="0.25">
      <c r="A24" s="64"/>
      <c r="B24" s="256">
        <f>SUM(B8:B23)</f>
        <v>82</v>
      </c>
      <c r="C24" s="64"/>
      <c r="D24" s="256">
        <f>SUM(D8:D23)</f>
        <v>60</v>
      </c>
      <c r="E24" s="64"/>
      <c r="F24" s="256">
        <f>SUM(F8:F23)</f>
        <v>28</v>
      </c>
      <c r="G24" s="64"/>
      <c r="H24" s="256">
        <f>SUM(H8:H23)</f>
        <v>22</v>
      </c>
      <c r="I24" s="64"/>
      <c r="J24" s="64">
        <f t="shared" ref="J24:N24" si="0">SUM(J8:J23)</f>
        <v>0</v>
      </c>
      <c r="K24" s="64"/>
      <c r="L24" s="64">
        <f t="shared" si="0"/>
        <v>0</v>
      </c>
      <c r="M24" s="64"/>
      <c r="N24" s="64">
        <f t="shared" si="0"/>
        <v>0</v>
      </c>
      <c r="P24" s="66"/>
      <c r="S24" s="66"/>
    </row>
    <row r="25" spans="1:29" x14ac:dyDescent="0.25">
      <c r="B25" s="272"/>
      <c r="C25" s="272"/>
      <c r="D25" s="272"/>
      <c r="E25" s="272"/>
      <c r="F25" s="272"/>
      <c r="G25" s="64" t="s">
        <v>316</v>
      </c>
      <c r="I25" s="64"/>
      <c r="J25" s="64"/>
      <c r="K25" s="64"/>
      <c r="L25" s="64"/>
      <c r="M25" s="64"/>
    </row>
    <row r="26" spans="1:29" x14ac:dyDescent="0.25">
      <c r="H26" s="269" t="s">
        <v>146</v>
      </c>
      <c r="I26" s="269"/>
      <c r="J26" s="269"/>
      <c r="K26" s="269"/>
      <c r="L26" s="54"/>
      <c r="M26" s="54"/>
      <c r="S26" s="66"/>
    </row>
    <row r="27" spans="1:29" x14ac:dyDescent="0.25">
      <c r="H27" s="254"/>
      <c r="I27" s="269"/>
      <c r="J27" s="269"/>
      <c r="K27" s="68"/>
      <c r="L27" s="54"/>
      <c r="M27" s="54"/>
    </row>
    <row r="28" spans="1:29" x14ac:dyDescent="0.25">
      <c r="H28" s="254"/>
      <c r="I28" s="54"/>
      <c r="J28" s="54"/>
      <c r="K28" s="54"/>
      <c r="L28" s="54"/>
      <c r="M28" s="54"/>
      <c r="Q28" s="67"/>
      <c r="R28" s="67"/>
    </row>
    <row r="29" spans="1:29" x14ac:dyDescent="0.25">
      <c r="H29" s="269"/>
      <c r="I29" s="269"/>
      <c r="J29" s="269"/>
      <c r="K29" s="68"/>
      <c r="L29" s="54"/>
      <c r="P29" s="70"/>
      <c r="Q29" s="67"/>
      <c r="R29" s="67"/>
    </row>
    <row r="30" spans="1:29" ht="24" customHeight="1" x14ac:dyDescent="0.25">
      <c r="I30" s="68"/>
      <c r="J30" s="68"/>
      <c r="K30" s="68"/>
      <c r="P30" s="71"/>
      <c r="Q30" s="67"/>
      <c r="R30" s="67"/>
    </row>
    <row r="31" spans="1:29" ht="21" customHeight="1" x14ac:dyDescent="0.25">
      <c r="P31" s="71"/>
      <c r="Q31" s="67"/>
      <c r="R31" s="67"/>
    </row>
    <row r="32" spans="1:29" x14ac:dyDescent="0.25">
      <c r="P32" s="71"/>
      <c r="Q32" s="67"/>
      <c r="R32" s="67"/>
    </row>
    <row r="33" spans="16:18" x14ac:dyDescent="0.25">
      <c r="P33" s="71"/>
      <c r="Q33" s="67"/>
      <c r="R33" s="67"/>
    </row>
    <row r="34" spans="16:18" ht="1.5" customHeight="1" x14ac:dyDescent="0.25"/>
    <row r="35" spans="16:18" ht="6" customHeight="1" x14ac:dyDescent="0.25"/>
  </sheetData>
  <mergeCells count="6">
    <mergeCell ref="H29:J29"/>
    <mergeCell ref="F5:I5"/>
    <mergeCell ref="A22:B22"/>
    <mergeCell ref="B25:F25"/>
    <mergeCell ref="H26:K26"/>
    <mergeCell ref="I27:J27"/>
  </mergeCells>
  <pageMargins left="0.7" right="0.7" top="0.75" bottom="0.75" header="0.3" footer="0.3"/>
  <pageSetup scale="9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2"/>
  <sheetViews>
    <sheetView tabSelected="1" view="pageBreakPreview" zoomScaleNormal="115" zoomScaleSheetLayoutView="100" zoomScalePageLayoutView="115" workbookViewId="0">
      <selection activeCell="AH126" sqref="AH126"/>
    </sheetView>
  </sheetViews>
  <sheetFormatPr defaultRowHeight="15" x14ac:dyDescent="0.25"/>
  <cols>
    <col min="1" max="1" width="11" customWidth="1"/>
    <col min="2" max="2" width="10.140625" customWidth="1"/>
    <col min="3" max="3" width="9.85546875" customWidth="1"/>
    <col min="4" max="4" width="7.140625" style="4" customWidth="1"/>
    <col min="5" max="5" width="11.5703125" style="3" customWidth="1"/>
    <col min="6" max="6" width="10.5703125" style="223" customWidth="1"/>
    <col min="7" max="7" width="18.42578125" style="3" customWidth="1"/>
    <col min="8" max="8" width="19.28515625" customWidth="1"/>
    <col min="9" max="9" width="13.7109375" style="50" hidden="1" customWidth="1"/>
    <col min="10" max="10" width="11.140625" hidden="1" customWidth="1"/>
    <col min="11" max="11" width="9.28515625" hidden="1" customWidth="1"/>
    <col min="12" max="30" width="0" hidden="1" customWidth="1"/>
  </cols>
  <sheetData>
    <row r="1" spans="1:15" ht="15.75" x14ac:dyDescent="0.25">
      <c r="A1" s="284" t="s">
        <v>189</v>
      </c>
      <c r="B1" s="284"/>
      <c r="C1" s="284"/>
      <c r="D1" s="284"/>
      <c r="E1" s="284"/>
      <c r="F1" s="284"/>
      <c r="G1" s="284"/>
      <c r="H1" s="284"/>
      <c r="K1" t="s">
        <v>9</v>
      </c>
      <c r="L1">
        <v>2900</v>
      </c>
    </row>
    <row r="2" spans="1:15" ht="15.75" x14ac:dyDescent="0.25">
      <c r="A2" s="285" t="s">
        <v>190</v>
      </c>
      <c r="B2" s="285"/>
      <c r="C2" s="285"/>
      <c r="D2" s="285"/>
      <c r="E2" s="285"/>
      <c r="F2" s="285"/>
      <c r="G2" s="285"/>
      <c r="H2" s="285"/>
      <c r="K2" t="s">
        <v>10</v>
      </c>
      <c r="L2">
        <v>18000</v>
      </c>
    </row>
    <row r="4" spans="1:15" ht="22.5" customHeight="1" x14ac:dyDescent="0.25">
      <c r="A4" s="286" t="s">
        <v>361</v>
      </c>
      <c r="B4" s="286"/>
      <c r="C4" s="286"/>
      <c r="D4" s="286"/>
      <c r="E4" s="286"/>
      <c r="F4" s="286"/>
      <c r="G4" s="286"/>
      <c r="H4" s="286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13.5" customHeight="1" x14ac:dyDescent="0.25">
      <c r="A5" s="277"/>
      <c r="B5" s="277"/>
      <c r="C5" s="277"/>
      <c r="D5" s="277"/>
      <c r="E5" s="277"/>
      <c r="F5" s="277"/>
      <c r="G5" s="277"/>
      <c r="H5" s="277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22</v>
      </c>
      <c r="O5" s="75">
        <f>M5/N5</f>
        <v>1.1818181818181819</v>
      </c>
    </row>
    <row r="6" spans="1:15" x14ac:dyDescent="0.25">
      <c r="A6" s="75"/>
      <c r="B6" s="75"/>
      <c r="C6" s="75"/>
      <c r="D6" s="77"/>
      <c r="E6" s="78"/>
      <c r="F6" s="221"/>
      <c r="G6" s="114" t="s">
        <v>357</v>
      </c>
      <c r="H6" s="114"/>
      <c r="I6" s="114"/>
      <c r="J6" s="75" t="s">
        <v>64</v>
      </c>
      <c r="K6" s="75">
        <v>60</v>
      </c>
      <c r="L6" s="75">
        <v>76</v>
      </c>
      <c r="M6" s="75">
        <f t="shared" ref="M6:M10" si="0">L6-K6</f>
        <v>16</v>
      </c>
      <c r="N6" s="113">
        <f>SUM('so nguoi'!H14:H18)</f>
        <v>0</v>
      </c>
      <c r="O6" s="75" t="e">
        <f t="shared" ref="O6:O10" si="1">M6/N6</f>
        <v>#DIV/0!</v>
      </c>
    </row>
    <row r="7" spans="1:15" x14ac:dyDescent="0.25">
      <c r="A7" s="75"/>
      <c r="B7" s="75"/>
      <c r="C7" s="75"/>
      <c r="D7" s="77"/>
      <c r="E7" s="78"/>
      <c r="F7" s="221"/>
      <c r="G7" s="114" t="s">
        <v>362</v>
      </c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0</v>
      </c>
      <c r="O7" s="75" t="e">
        <f t="shared" si="1"/>
        <v>#DIV/0!</v>
      </c>
    </row>
    <row r="8" spans="1:15" ht="34.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160</v>
      </c>
      <c r="F8" s="222" t="s">
        <v>27</v>
      </c>
      <c r="G8" s="47" t="s">
        <v>28</v>
      </c>
      <c r="H8" s="47" t="s">
        <v>18</v>
      </c>
      <c r="I8" s="81"/>
      <c r="J8" s="75" t="s">
        <v>66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0</v>
      </c>
      <c r="O8" s="75" t="e">
        <f t="shared" si="1"/>
        <v>#DIV/0!</v>
      </c>
    </row>
    <row r="9" spans="1:15" s="2" customFormat="1" ht="23.25" customHeight="1" x14ac:dyDescent="0.3">
      <c r="A9" s="124" t="s">
        <v>257</v>
      </c>
      <c r="B9" s="139"/>
      <c r="C9" s="139"/>
      <c r="D9" s="139"/>
      <c r="E9" s="140"/>
      <c r="F9" s="162"/>
      <c r="G9" s="139"/>
      <c r="H9" s="127">
        <f>SUM(G10:G11)</f>
        <v>1127200</v>
      </c>
      <c r="I9" s="142"/>
      <c r="J9" s="120" t="s">
        <v>67</v>
      </c>
      <c r="K9" s="120">
        <v>215</v>
      </c>
      <c r="L9" s="120">
        <v>298</v>
      </c>
      <c r="M9" s="120">
        <f t="shared" si="0"/>
        <v>83</v>
      </c>
      <c r="N9" s="120">
        <f>SUM('so nguoi'!L8:L13)</f>
        <v>0</v>
      </c>
      <c r="O9" s="120" t="e">
        <f t="shared" si="1"/>
        <v>#DIV/0!</v>
      </c>
    </row>
    <row r="10" spans="1:15" ht="16.5" x14ac:dyDescent="0.25">
      <c r="A10" s="198" t="s">
        <v>6</v>
      </c>
      <c r="B10" s="198">
        <v>2570</v>
      </c>
      <c r="C10" s="198">
        <v>2782</v>
      </c>
      <c r="D10" s="273">
        <f>VLOOKUP(RIGHT(LEFT(A9,11),4),'so nguoi'!$A$8:$B$21,2,0)</f>
        <v>7</v>
      </c>
      <c r="E10" s="61">
        <f>C10-B10</f>
        <v>212</v>
      </c>
      <c r="F10" s="62">
        <f>E10</f>
        <v>212</v>
      </c>
      <c r="G10" s="152">
        <f>F10*$L$1</f>
        <v>614800</v>
      </c>
      <c r="H10" s="153"/>
      <c r="J10" s="75" t="s">
        <v>68</v>
      </c>
      <c r="K10" s="75">
        <v>229</v>
      </c>
      <c r="L10" s="75">
        <v>307</v>
      </c>
      <c r="M10" s="75">
        <f t="shared" si="0"/>
        <v>78</v>
      </c>
      <c r="N10" s="75">
        <f>SUM('so nguoi'!L14:L18)</f>
        <v>0</v>
      </c>
      <c r="O10" s="75" t="e">
        <f t="shared" si="1"/>
        <v>#DIV/0!</v>
      </c>
    </row>
    <row r="11" spans="1:15" ht="16.5" x14ac:dyDescent="0.25">
      <c r="A11" s="196" t="s">
        <v>7</v>
      </c>
      <c r="B11" s="196">
        <v>1065</v>
      </c>
      <c r="C11" s="196">
        <v>1126</v>
      </c>
      <c r="D11" s="273"/>
      <c r="E11" s="197">
        <f>C11-B11</f>
        <v>61</v>
      </c>
      <c r="F11" s="57">
        <f>IF(D10=0,0,(E11/(D10+D13)*D10))</f>
        <v>28.466666666666665</v>
      </c>
      <c r="G11" s="211">
        <f>F11*$L$2</f>
        <v>512399.99999999994</v>
      </c>
      <c r="H11" s="158"/>
      <c r="I11" s="251"/>
      <c r="J11" s="252"/>
      <c r="K11" s="252"/>
      <c r="L11" s="252"/>
      <c r="M11" s="75"/>
      <c r="N11" s="75"/>
      <c r="O11" s="75"/>
    </row>
    <row r="12" spans="1:15" s="2" customFormat="1" ht="23.25" customHeight="1" x14ac:dyDescent="0.3">
      <c r="A12" s="159" t="s">
        <v>258</v>
      </c>
      <c r="B12" s="212"/>
      <c r="C12" s="212"/>
      <c r="D12" s="212"/>
      <c r="E12" s="161"/>
      <c r="F12" s="162"/>
      <c r="G12" s="212"/>
      <c r="H12" s="163">
        <f>SUM(G13:G14)</f>
        <v>977100</v>
      </c>
      <c r="I12" s="142"/>
      <c r="J12" s="120"/>
      <c r="K12" s="120"/>
      <c r="L12" s="120"/>
      <c r="M12" s="120"/>
      <c r="N12" s="120"/>
      <c r="O12" s="120"/>
    </row>
    <row r="13" spans="1:15" ht="16.5" x14ac:dyDescent="0.25">
      <c r="A13" s="198" t="s">
        <v>6</v>
      </c>
      <c r="B13" s="198">
        <v>2208</v>
      </c>
      <c r="C13" s="198">
        <v>2343</v>
      </c>
      <c r="D13" s="273">
        <f>VLOOKUP(RIGHT(LEFT(A12,11),4),'so nguoi'!$A$8:$B$21,2,0)</f>
        <v>8</v>
      </c>
      <c r="E13" s="61">
        <f>C13-B13</f>
        <v>135</v>
      </c>
      <c r="F13" s="62">
        <f>E13</f>
        <v>135</v>
      </c>
      <c r="G13" s="152">
        <f>F13*$L$1</f>
        <v>391500</v>
      </c>
      <c r="H13" s="153"/>
      <c r="I13" s="81"/>
      <c r="J13" s="75"/>
      <c r="K13" s="75"/>
      <c r="L13" s="75"/>
      <c r="M13" s="75"/>
      <c r="N13" s="75"/>
      <c r="O13" s="75"/>
    </row>
    <row r="14" spans="1:15" ht="16.5" x14ac:dyDescent="0.25">
      <c r="A14" s="196" t="s">
        <v>7</v>
      </c>
      <c r="B14" s="196">
        <f>B11</f>
        <v>1065</v>
      </c>
      <c r="C14" s="196">
        <f>C11</f>
        <v>1126</v>
      </c>
      <c r="D14" s="273"/>
      <c r="E14" s="197">
        <f>C14-B14</f>
        <v>61</v>
      </c>
      <c r="F14" s="57">
        <f>IF(D13=0,0,(E14/(D13+D10)*D13))</f>
        <v>32.533333333333331</v>
      </c>
      <c r="G14" s="211">
        <f>F14*$L$2</f>
        <v>585600</v>
      </c>
      <c r="H14" s="158"/>
      <c r="I14" s="81"/>
      <c r="J14" s="75"/>
      <c r="K14" s="75"/>
      <c r="L14" s="75"/>
      <c r="M14" s="75"/>
      <c r="N14" s="75"/>
      <c r="O14" s="75"/>
    </row>
    <row r="15" spans="1:15" s="2" customFormat="1" ht="23.25" customHeight="1" x14ac:dyDescent="0.3">
      <c r="A15" s="159" t="s">
        <v>259</v>
      </c>
      <c r="B15" s="212"/>
      <c r="C15" s="212"/>
      <c r="D15" s="212"/>
      <c r="E15" s="161"/>
      <c r="F15" s="162"/>
      <c r="G15" s="212"/>
      <c r="H15" s="163">
        <f>SUM(G16:G17)</f>
        <v>813000</v>
      </c>
      <c r="I15" s="142"/>
      <c r="J15" s="120" t="str">
        <f>RIGHT(LEFT(A9,11),4)</f>
        <v>C001</v>
      </c>
      <c r="K15" s="120"/>
      <c r="L15" s="120"/>
      <c r="M15" s="120"/>
      <c r="N15" s="120"/>
      <c r="O15" s="120"/>
    </row>
    <row r="16" spans="1:15" ht="16.5" x14ac:dyDescent="0.25">
      <c r="A16" s="198" t="s">
        <v>6</v>
      </c>
      <c r="B16" s="198">
        <v>2074</v>
      </c>
      <c r="C16" s="198">
        <v>2224</v>
      </c>
      <c r="D16" s="273">
        <f>VLOOKUP(RIGHT(LEFT(A15,11),4),'so nguoi'!$A$8:$B$21,2,0)</f>
        <v>6</v>
      </c>
      <c r="E16" s="61">
        <f>C16-B16</f>
        <v>150</v>
      </c>
      <c r="F16" s="62">
        <f>E16</f>
        <v>150</v>
      </c>
      <c r="G16" s="152">
        <f>F16*$L$1</f>
        <v>435000</v>
      </c>
      <c r="H16" s="153"/>
      <c r="I16" s="81"/>
      <c r="J16" s="120" t="str">
        <f t="shared" ref="J16:J32" si="2">RIGHT(LEFT(A10,11),4)</f>
        <v>Điện</v>
      </c>
      <c r="K16" s="75"/>
      <c r="L16" s="75"/>
      <c r="M16" s="75"/>
      <c r="N16" s="75"/>
      <c r="O16" s="75"/>
    </row>
    <row r="17" spans="1:15" ht="16.5" x14ac:dyDescent="0.25">
      <c r="A17" s="196" t="s">
        <v>7</v>
      </c>
      <c r="B17" s="196">
        <v>457</v>
      </c>
      <c r="C17" s="196">
        <v>478</v>
      </c>
      <c r="D17" s="273"/>
      <c r="E17" s="197">
        <f>C17-B17</f>
        <v>21</v>
      </c>
      <c r="F17" s="57">
        <f>E17</f>
        <v>21</v>
      </c>
      <c r="G17" s="211">
        <f>F17*$L$2</f>
        <v>378000</v>
      </c>
      <c r="H17" s="158"/>
      <c r="I17" s="81"/>
      <c r="J17" s="120" t="str">
        <f t="shared" si="2"/>
        <v>Nước</v>
      </c>
      <c r="K17" s="75">
        <f>VLOOKUP(J15,'so nguoi'!$A$8:$B$21,2,0)</f>
        <v>7</v>
      </c>
      <c r="L17" s="75"/>
      <c r="M17" s="75"/>
      <c r="N17" s="75"/>
      <c r="O17" s="75"/>
    </row>
    <row r="18" spans="1:15" s="2" customFormat="1" ht="23.25" customHeight="1" x14ac:dyDescent="0.3">
      <c r="A18" s="159" t="s">
        <v>260</v>
      </c>
      <c r="B18" s="212"/>
      <c r="C18" s="212"/>
      <c r="D18" s="212"/>
      <c r="E18" s="161"/>
      <c r="F18" s="162"/>
      <c r="G18" s="212"/>
      <c r="H18" s="163">
        <f>IF(D19=0,0,IF(D22=0,SUM(G19:G20)+G22,SUM(G19:G20)))</f>
        <v>924900</v>
      </c>
      <c r="I18" s="142"/>
      <c r="J18" s="120" t="str">
        <f t="shared" si="2"/>
        <v>C002</v>
      </c>
      <c r="K18" s="75" t="e">
        <f>VLOOKUP(J16,'so nguoi'!$A$8:$B$21,2,0)</f>
        <v>#N/A</v>
      </c>
      <c r="L18" s="120"/>
      <c r="M18" s="120"/>
      <c r="N18" s="120"/>
      <c r="O18" s="120"/>
    </row>
    <row r="19" spans="1:15" ht="16.5" x14ac:dyDescent="0.25">
      <c r="A19" s="198" t="s">
        <v>6</v>
      </c>
      <c r="B19" s="198">
        <v>2392</v>
      </c>
      <c r="C19" s="198">
        <v>2593</v>
      </c>
      <c r="D19" s="273">
        <f>VLOOKUP(RIGHT(LEFT(A18,11),4),'so nguoi'!$A$8:$B$21,2,0)</f>
        <v>7</v>
      </c>
      <c r="E19" s="61">
        <f>C19-B19</f>
        <v>201</v>
      </c>
      <c r="F19" s="62">
        <f>E19</f>
        <v>201</v>
      </c>
      <c r="G19" s="152">
        <f>F19*$L$1</f>
        <v>582900</v>
      </c>
      <c r="H19" s="153"/>
      <c r="I19" s="81"/>
      <c r="J19" s="120" t="str">
        <f t="shared" si="2"/>
        <v>Điện</v>
      </c>
      <c r="K19" s="75" t="e">
        <f>VLOOKUP(J17,'so nguoi'!$A$8:$B$21,2,0)</f>
        <v>#N/A</v>
      </c>
      <c r="L19" s="75"/>
      <c r="M19" s="75"/>
      <c r="N19" s="75"/>
      <c r="O19" s="75"/>
    </row>
    <row r="20" spans="1:15" ht="16.5" x14ac:dyDescent="0.25">
      <c r="A20" s="196" t="s">
        <v>7</v>
      </c>
      <c r="B20" s="196">
        <v>1075</v>
      </c>
      <c r="C20" s="196">
        <v>1094</v>
      </c>
      <c r="D20" s="273"/>
      <c r="E20" s="197">
        <f>C20-B20</f>
        <v>19</v>
      </c>
      <c r="F20" s="57">
        <f>IF(D19=0,0,(E20/(D19+D22)*D19))</f>
        <v>19</v>
      </c>
      <c r="G20" s="211">
        <f>F20*$L$2</f>
        <v>342000</v>
      </c>
      <c r="H20" s="158"/>
      <c r="I20" s="81"/>
      <c r="J20" s="120" t="str">
        <f t="shared" si="2"/>
        <v>Nước</v>
      </c>
      <c r="K20" s="75">
        <f>VLOOKUP(J18,'so nguoi'!$A$8:$B$21,2,0)</f>
        <v>8</v>
      </c>
      <c r="L20" s="75"/>
      <c r="M20" s="75"/>
      <c r="N20" s="75"/>
      <c r="O20" s="75"/>
    </row>
    <row r="21" spans="1:15" s="2" customFormat="1" ht="23.25" hidden="1" customHeight="1" x14ac:dyDescent="0.3">
      <c r="A21" s="159" t="s">
        <v>261</v>
      </c>
      <c r="B21" s="212"/>
      <c r="C21" s="212"/>
      <c r="D21" s="212"/>
      <c r="E21" s="161"/>
      <c r="F21" s="162"/>
      <c r="G21" s="212"/>
      <c r="H21" s="163">
        <f>IF(D22=0,0,IF(D19=0,SUM(G22:G23)+G19,SUM(G22:G23)))</f>
        <v>0</v>
      </c>
      <c r="I21" s="142"/>
      <c r="J21" s="120" t="str">
        <f t="shared" si="2"/>
        <v>C003</v>
      </c>
      <c r="K21" s="75" t="e">
        <f>VLOOKUP(J19,'so nguoi'!$A$8:$B$21,2,0)</f>
        <v>#N/A</v>
      </c>
      <c r="L21" s="120"/>
      <c r="M21" s="120"/>
      <c r="N21" s="120"/>
      <c r="O21" s="120"/>
    </row>
    <row r="22" spans="1:15" ht="16.5" hidden="1" x14ac:dyDescent="0.25">
      <c r="A22" s="198" t="s">
        <v>6</v>
      </c>
      <c r="B22" s="198">
        <v>2637</v>
      </c>
      <c r="C22" s="198">
        <v>2637</v>
      </c>
      <c r="D22" s="273">
        <f>VLOOKUP(RIGHT(LEFT(A21,11),4),'so nguoi'!$A$8:$B$21,2,0)</f>
        <v>0</v>
      </c>
      <c r="E22" s="61">
        <f>C22-B22</f>
        <v>0</v>
      </c>
      <c r="F22" s="62">
        <f>E22</f>
        <v>0</v>
      </c>
      <c r="G22" s="152">
        <f>F22*$L$1</f>
        <v>0</v>
      </c>
      <c r="H22" s="153"/>
      <c r="I22" s="81"/>
      <c r="J22" s="120" t="str">
        <f t="shared" si="2"/>
        <v>Điện</v>
      </c>
      <c r="K22" s="75" t="e">
        <f>VLOOKUP(J20,'so nguoi'!$A$8:$B$21,2,0)</f>
        <v>#N/A</v>
      </c>
      <c r="L22" s="75"/>
      <c r="M22" s="75"/>
      <c r="N22" s="75"/>
      <c r="O22" s="75"/>
    </row>
    <row r="23" spans="1:15" ht="16.5" hidden="1" x14ac:dyDescent="0.25">
      <c r="A23" s="196" t="s">
        <v>7</v>
      </c>
      <c r="B23" s="196">
        <f>B20</f>
        <v>1075</v>
      </c>
      <c r="C23" s="196">
        <f>C20</f>
        <v>1094</v>
      </c>
      <c r="D23" s="273"/>
      <c r="E23" s="197">
        <f>C23-B23</f>
        <v>19</v>
      </c>
      <c r="F23" s="57">
        <f>IF(D22=0,0,(E23/(D22+D19)*D22))</f>
        <v>0</v>
      </c>
      <c r="G23" s="211">
        <f>F23*$L$2</f>
        <v>0</v>
      </c>
      <c r="H23" s="158"/>
      <c r="I23" s="81"/>
      <c r="J23" s="120" t="str">
        <f t="shared" si="2"/>
        <v>Nước</v>
      </c>
      <c r="K23" s="75">
        <f>VLOOKUP(J21,'so nguoi'!$A$8:$B$21,2,0)</f>
        <v>6</v>
      </c>
      <c r="L23" s="75"/>
      <c r="M23" s="75"/>
      <c r="N23" s="75"/>
      <c r="O23" s="75"/>
    </row>
    <row r="24" spans="1:15" s="2" customFormat="1" ht="23.25" customHeight="1" x14ac:dyDescent="0.3">
      <c r="A24" s="159" t="s">
        <v>262</v>
      </c>
      <c r="B24" s="212"/>
      <c r="C24" s="212"/>
      <c r="D24" s="212"/>
      <c r="E24" s="161"/>
      <c r="F24" s="162"/>
      <c r="G24" s="212"/>
      <c r="H24" s="163">
        <f>IF(D25=0,0,IF(D28=0,SUM(G25:G26)+G28,SUM(G25:G26)))</f>
        <v>928800</v>
      </c>
      <c r="I24" s="142"/>
      <c r="J24" s="120" t="str">
        <f t="shared" si="2"/>
        <v>C004</v>
      </c>
      <c r="K24" s="75" t="e">
        <f>VLOOKUP(J22,'so nguoi'!$A$8:$B$21,2,0)</f>
        <v>#N/A</v>
      </c>
      <c r="L24" s="120"/>
      <c r="M24" s="120"/>
      <c r="N24" s="120"/>
      <c r="O24" s="120"/>
    </row>
    <row r="25" spans="1:15" ht="16.5" x14ac:dyDescent="0.25">
      <c r="A25" s="198" t="s">
        <v>6</v>
      </c>
      <c r="B25" s="198">
        <v>4391</v>
      </c>
      <c r="C25" s="198">
        <v>4523</v>
      </c>
      <c r="D25" s="273">
        <f>VLOOKUP(RIGHT(LEFT(A24,11),4),'so nguoi'!$A$8:$B$21,2,0)</f>
        <v>7</v>
      </c>
      <c r="E25" s="61">
        <f>C25-B25</f>
        <v>132</v>
      </c>
      <c r="F25" s="62">
        <f>E25</f>
        <v>132</v>
      </c>
      <c r="G25" s="152">
        <f>F25*$L$1</f>
        <v>382800</v>
      </c>
      <c r="H25" s="153"/>
      <c r="I25" s="81"/>
      <c r="J25" s="120" t="str">
        <f t="shared" si="2"/>
        <v>Điện</v>
      </c>
      <c r="K25" s="75" t="e">
        <f>VLOOKUP(J23,'so nguoi'!$A$8:$B$21,2,0)</f>
        <v>#N/A</v>
      </c>
      <c r="L25" s="75"/>
      <c r="M25" s="75"/>
      <c r="N25" s="75"/>
      <c r="O25" s="75"/>
    </row>
    <row r="26" spans="1:15" ht="16.5" x14ac:dyDescent="0.25">
      <c r="A26" s="196" t="s">
        <v>7</v>
      </c>
      <c r="B26" s="196">
        <v>1467</v>
      </c>
      <c r="C26" s="196">
        <v>1532</v>
      </c>
      <c r="D26" s="273"/>
      <c r="E26" s="197">
        <f>C26-B26</f>
        <v>65</v>
      </c>
      <c r="F26" s="57">
        <f>IF(D25=0,0,(E26/(D25+D28)*D25))</f>
        <v>30.333333333333332</v>
      </c>
      <c r="G26" s="211">
        <f>F26*$L$2</f>
        <v>546000</v>
      </c>
      <c r="H26" s="158"/>
      <c r="I26" s="81"/>
      <c r="J26" s="120" t="str">
        <f t="shared" si="2"/>
        <v>Nước</v>
      </c>
      <c r="K26" s="75">
        <f>VLOOKUP(J24,'so nguoi'!$A$8:$B$21,2,0)</f>
        <v>7</v>
      </c>
      <c r="L26" s="75"/>
      <c r="M26" s="75"/>
      <c r="N26" s="75"/>
      <c r="O26" s="75"/>
    </row>
    <row r="27" spans="1:15" s="2" customFormat="1" ht="23.25" customHeight="1" x14ac:dyDescent="0.3">
      <c r="A27" s="159" t="s">
        <v>263</v>
      </c>
      <c r="B27" s="212"/>
      <c r="C27" s="212"/>
      <c r="D27" s="212"/>
      <c r="E27" s="161"/>
      <c r="F27" s="162"/>
      <c r="G27" s="212"/>
      <c r="H27" s="163">
        <f>IF(D28=0,0,IF(D25=0,SUM(G28:G29)+G25,SUM(G28:G29)))</f>
        <v>1148900</v>
      </c>
      <c r="I27" s="142"/>
      <c r="J27" s="120" t="str">
        <f t="shared" si="2"/>
        <v>C005</v>
      </c>
      <c r="K27" s="75" t="e">
        <f>VLOOKUP(J25,'so nguoi'!$A$8:$B$21,2,0)</f>
        <v>#N/A</v>
      </c>
      <c r="L27" s="120"/>
      <c r="M27" s="120"/>
      <c r="N27" s="120"/>
      <c r="O27" s="120"/>
    </row>
    <row r="28" spans="1:15" ht="16.5" x14ac:dyDescent="0.25">
      <c r="A28" s="196" t="s">
        <v>6</v>
      </c>
      <c r="B28" s="196">
        <v>3112</v>
      </c>
      <c r="C28" s="196">
        <v>3293</v>
      </c>
      <c r="D28" s="273">
        <f>VLOOKUP(RIGHT(LEFT(A27,11),4),'so nguoi'!$A$8:$B$21,2,0)</f>
        <v>8</v>
      </c>
      <c r="E28" s="61">
        <f>C28-B28</f>
        <v>181</v>
      </c>
      <c r="F28" s="62">
        <f>E28</f>
        <v>181</v>
      </c>
      <c r="G28" s="152">
        <f>F28*$L$1</f>
        <v>524900</v>
      </c>
      <c r="H28" s="166"/>
      <c r="I28" s="81"/>
      <c r="J28" s="120" t="str">
        <f t="shared" si="2"/>
        <v>Điện</v>
      </c>
      <c r="K28" s="75" t="e">
        <f>VLOOKUP(J26,'so nguoi'!$A$8:$B$21,2,0)</f>
        <v>#N/A</v>
      </c>
      <c r="L28" s="75"/>
      <c r="M28" s="75"/>
      <c r="N28" s="75"/>
      <c r="O28" s="75"/>
    </row>
    <row r="29" spans="1:15" ht="16.5" x14ac:dyDescent="0.25">
      <c r="A29" s="196" t="s">
        <v>7</v>
      </c>
      <c r="B29" s="196">
        <f>B26</f>
        <v>1467</v>
      </c>
      <c r="C29" s="196">
        <f>C26</f>
        <v>1532</v>
      </c>
      <c r="D29" s="273"/>
      <c r="E29" s="197">
        <f>C29-B29</f>
        <v>65</v>
      </c>
      <c r="F29" s="57">
        <f>IF(D28=0,0,(E29/(D28+D25)*D28))</f>
        <v>34.666666666666664</v>
      </c>
      <c r="G29" s="211">
        <f>F29*$L$2</f>
        <v>624000</v>
      </c>
      <c r="H29" s="158"/>
      <c r="I29" s="81"/>
      <c r="J29" s="120" t="str">
        <f t="shared" si="2"/>
        <v>Nước</v>
      </c>
      <c r="K29" s="75">
        <f>VLOOKUP(J27,'so nguoi'!$A$8:$B$21,2,0)</f>
        <v>0</v>
      </c>
      <c r="L29" s="75"/>
      <c r="M29" s="75"/>
      <c r="N29" s="75"/>
      <c r="O29" s="75"/>
    </row>
    <row r="30" spans="1:15" s="2" customFormat="1" ht="23.25" customHeight="1" x14ac:dyDescent="0.3">
      <c r="A30" s="159" t="s">
        <v>264</v>
      </c>
      <c r="B30" s="212"/>
      <c r="C30" s="212"/>
      <c r="D30" s="212"/>
      <c r="E30" s="161"/>
      <c r="F30" s="162"/>
      <c r="G30" s="212"/>
      <c r="H30" s="163">
        <f>SUM(G31:G32)</f>
        <v>1064400</v>
      </c>
      <c r="I30" s="142"/>
      <c r="J30" s="120" t="str">
        <f t="shared" si="2"/>
        <v>C006</v>
      </c>
      <c r="K30" s="75" t="e">
        <f>VLOOKUP(J28,'so nguoi'!$A$8:$B$21,2,0)</f>
        <v>#N/A</v>
      </c>
      <c r="L30" s="120"/>
      <c r="M30" s="120"/>
      <c r="N30" s="120"/>
      <c r="O30" s="120"/>
    </row>
    <row r="31" spans="1:15" s="59" customFormat="1" ht="16.5" x14ac:dyDescent="0.25">
      <c r="A31" s="196" t="s">
        <v>6</v>
      </c>
      <c r="B31" s="179">
        <v>12205</v>
      </c>
      <c r="C31" s="179">
        <v>12361</v>
      </c>
      <c r="D31" s="273">
        <f>VLOOKUP(RIGHT(LEFT(A30,11),4),'so nguoi'!$A$8:$B$21,2,0)</f>
        <v>8</v>
      </c>
      <c r="E31" s="61">
        <f>C31-B31</f>
        <v>156</v>
      </c>
      <c r="F31" s="62">
        <f>E31</f>
        <v>156</v>
      </c>
      <c r="G31" s="152">
        <f>F31*$L$1</f>
        <v>452400</v>
      </c>
      <c r="H31" s="166"/>
      <c r="I31" s="154"/>
      <c r="J31" s="155" t="str">
        <f>RIGHT(LEFT(A25,11),4)</f>
        <v>Điện</v>
      </c>
      <c r="K31" s="156" t="e">
        <f>VLOOKUP(J29,'so nguoi'!$A$8:$B$21,2,0)</f>
        <v>#N/A</v>
      </c>
      <c r="L31" s="156"/>
      <c r="M31" s="156"/>
      <c r="N31" s="156"/>
      <c r="O31" s="156"/>
    </row>
    <row r="32" spans="1:15" s="59" customFormat="1" ht="16.5" x14ac:dyDescent="0.25">
      <c r="A32" s="196" t="s">
        <v>7</v>
      </c>
      <c r="B32" s="196">
        <v>1265</v>
      </c>
      <c r="C32" s="196">
        <v>1299</v>
      </c>
      <c r="D32" s="273"/>
      <c r="E32" s="197">
        <f>C32-B32</f>
        <v>34</v>
      </c>
      <c r="F32" s="57">
        <f>E32</f>
        <v>34</v>
      </c>
      <c r="G32" s="211">
        <f>F32*$L$2</f>
        <v>612000</v>
      </c>
      <c r="H32" s="158"/>
      <c r="I32" s="154"/>
      <c r="J32" s="155" t="str">
        <f t="shared" si="2"/>
        <v>Nước</v>
      </c>
      <c r="K32" s="156"/>
      <c r="L32" s="156"/>
      <c r="M32" s="156"/>
      <c r="N32" s="156"/>
      <c r="O32" s="156"/>
    </row>
    <row r="33" spans="1:15" s="2" customFormat="1" ht="23.25" customHeight="1" x14ac:dyDescent="0.3">
      <c r="A33" s="159" t="s">
        <v>265</v>
      </c>
      <c r="B33" s="212">
        <v>0</v>
      </c>
      <c r="C33" s="212">
        <v>0</v>
      </c>
      <c r="D33" s="212"/>
      <c r="E33" s="161"/>
      <c r="F33" s="162"/>
      <c r="G33" s="212"/>
      <c r="H33" s="163">
        <f>IF(D34=0,0,IF(D37=0,SUM(G34:G35)+G37,SUM(G34:G35)))</f>
        <v>1329900</v>
      </c>
      <c r="I33" s="142"/>
      <c r="J33" s="120"/>
      <c r="K33" s="120"/>
      <c r="L33" s="120"/>
      <c r="M33" s="120"/>
      <c r="N33" s="120"/>
      <c r="O33" s="120"/>
    </row>
    <row r="34" spans="1:15" ht="16.5" x14ac:dyDescent="0.25">
      <c r="A34" s="198" t="s">
        <v>6</v>
      </c>
      <c r="B34" s="198">
        <v>2470</v>
      </c>
      <c r="C34" s="198">
        <v>2677</v>
      </c>
      <c r="D34" s="273">
        <f>VLOOKUP(RIGHT(LEFT(A33,11),4),'so nguoi'!$A$8:$B$21,2,0)</f>
        <v>8</v>
      </c>
      <c r="E34" s="61">
        <f>C34-B34</f>
        <v>207</v>
      </c>
      <c r="F34" s="62">
        <f>E34</f>
        <v>207</v>
      </c>
      <c r="G34" s="152">
        <f>F34*$L$1</f>
        <v>600300</v>
      </c>
      <c r="H34" s="153"/>
      <c r="I34" s="81"/>
      <c r="J34" s="75"/>
      <c r="K34" s="75"/>
      <c r="L34" s="75"/>
      <c r="M34" s="75"/>
      <c r="N34" s="75"/>
      <c r="O34" s="75"/>
    </row>
    <row r="35" spans="1:15" ht="16.5" x14ac:dyDescent="0.25">
      <c r="A35" s="196" t="s">
        <v>7</v>
      </c>
      <c r="B35" s="196">
        <v>1137</v>
      </c>
      <c r="C35" s="196">
        <v>1213</v>
      </c>
      <c r="D35" s="273"/>
      <c r="E35" s="197">
        <f>C35-B35</f>
        <v>76</v>
      </c>
      <c r="F35" s="57">
        <f>IF(D34=0,0,(E35/(D34+D37)*D34))</f>
        <v>40.533333333333331</v>
      </c>
      <c r="G35" s="211">
        <f>F35*$L$2</f>
        <v>729600</v>
      </c>
      <c r="H35" s="158"/>
      <c r="I35" s="81"/>
      <c r="J35" s="75"/>
      <c r="K35" s="75"/>
      <c r="L35" s="75"/>
      <c r="M35" s="75"/>
      <c r="N35" s="75"/>
      <c r="O35" s="75"/>
    </row>
    <row r="36" spans="1:15" s="2" customFormat="1" ht="23.25" customHeight="1" x14ac:dyDescent="0.3">
      <c r="A36" s="159" t="s">
        <v>266</v>
      </c>
      <c r="B36" s="212"/>
      <c r="C36" s="212"/>
      <c r="D36" s="212"/>
      <c r="E36" s="161"/>
      <c r="F36" s="162"/>
      <c r="G36" s="212"/>
      <c r="H36" s="163">
        <f>IF(D37=0,0,IF(D34=0,SUM(G37:G38)+G34,SUM(G37:G38)))</f>
        <v>1163300</v>
      </c>
      <c r="I36" s="142"/>
      <c r="J36" s="120"/>
      <c r="K36" s="120"/>
      <c r="L36" s="120"/>
      <c r="M36" s="120"/>
      <c r="N36" s="120"/>
      <c r="O36" s="120"/>
    </row>
    <row r="37" spans="1:15" ht="16.5" x14ac:dyDescent="0.25">
      <c r="A37" s="198" t="s">
        <v>6</v>
      </c>
      <c r="B37" s="198">
        <v>3290</v>
      </c>
      <c r="C37" s="198">
        <v>3471</v>
      </c>
      <c r="D37" s="273">
        <f>VLOOKUP(RIGHT(LEFT(A36,11),4),'so nguoi'!$A$8:$B$21,2,0)</f>
        <v>7</v>
      </c>
      <c r="E37" s="61">
        <f>C37-B37</f>
        <v>181</v>
      </c>
      <c r="F37" s="62">
        <f>E37</f>
        <v>181</v>
      </c>
      <c r="G37" s="152">
        <f>F37*$L$1</f>
        <v>524900</v>
      </c>
      <c r="H37" s="153"/>
      <c r="I37" s="81"/>
      <c r="J37" s="75"/>
      <c r="K37" s="75"/>
      <c r="L37" s="75"/>
      <c r="M37" s="75"/>
      <c r="N37" s="75"/>
      <c r="O37" s="75"/>
    </row>
    <row r="38" spans="1:15" ht="16.5" x14ac:dyDescent="0.25">
      <c r="A38" s="196" t="s">
        <v>7</v>
      </c>
      <c r="B38" s="196">
        <f>B35</f>
        <v>1137</v>
      </c>
      <c r="C38" s="196">
        <f>C35</f>
        <v>1213</v>
      </c>
      <c r="D38" s="273"/>
      <c r="E38" s="197">
        <f>C38-B38</f>
        <v>76</v>
      </c>
      <c r="F38" s="57">
        <f>IF(D37=0,0,(E38/(D37+D34)*D37))</f>
        <v>35.466666666666669</v>
      </c>
      <c r="G38" s="211">
        <f>F38*$L$2</f>
        <v>638400</v>
      </c>
      <c r="H38" s="158"/>
      <c r="I38" s="81"/>
      <c r="J38" s="75"/>
      <c r="K38" s="75"/>
      <c r="L38" s="75"/>
      <c r="M38" s="75"/>
      <c r="N38" s="75"/>
      <c r="O38" s="75"/>
    </row>
    <row r="39" spans="1:15" s="2" customFormat="1" ht="23.25" customHeight="1" x14ac:dyDescent="0.3">
      <c r="A39" s="159" t="s">
        <v>267</v>
      </c>
      <c r="B39" s="212"/>
      <c r="C39" s="212"/>
      <c r="D39" s="212"/>
      <c r="E39" s="161"/>
      <c r="F39" s="162"/>
      <c r="G39" s="212"/>
      <c r="H39" s="163">
        <f>SUM(G40:G41)</f>
        <v>327100</v>
      </c>
      <c r="I39" s="142"/>
      <c r="J39" s="120"/>
      <c r="K39" s="120"/>
      <c r="L39" s="120"/>
      <c r="M39" s="120"/>
      <c r="N39" s="120"/>
      <c r="O39" s="120"/>
    </row>
    <row r="40" spans="1:15" ht="16.5" x14ac:dyDescent="0.25">
      <c r="A40" s="198" t="s">
        <v>6</v>
      </c>
      <c r="B40" s="198">
        <v>7726</v>
      </c>
      <c r="C40" s="198">
        <v>7755</v>
      </c>
      <c r="D40" s="273">
        <f>VLOOKUP(RIGHT(LEFT(A39,11),4),'so nguoi'!$A$8:$B$21,2,0)</f>
        <v>8</v>
      </c>
      <c r="E40" s="61">
        <f>C40-B40</f>
        <v>29</v>
      </c>
      <c r="F40" s="62">
        <f>E40</f>
        <v>29</v>
      </c>
      <c r="G40" s="152">
        <f>F40*$L$1</f>
        <v>84100</v>
      </c>
      <c r="H40" s="153"/>
      <c r="I40" s="81"/>
      <c r="J40" s="75"/>
      <c r="K40" s="75"/>
      <c r="L40" s="75"/>
      <c r="M40" s="75"/>
      <c r="N40" s="75"/>
      <c r="O40" s="75"/>
    </row>
    <row r="41" spans="1:15" ht="16.5" x14ac:dyDescent="0.25">
      <c r="A41" s="196" t="s">
        <v>7</v>
      </c>
      <c r="B41" s="196">
        <v>1503</v>
      </c>
      <c r="C41" s="196">
        <v>1530</v>
      </c>
      <c r="D41" s="273"/>
      <c r="E41" s="197">
        <f>C41-B41</f>
        <v>27</v>
      </c>
      <c r="F41" s="57">
        <f>IF(D40=0,0,(E41/(D40+D43)*D40))</f>
        <v>13.5</v>
      </c>
      <c r="G41" s="211">
        <f>F41*$L$2</f>
        <v>243000</v>
      </c>
      <c r="H41" s="158"/>
      <c r="I41" s="81"/>
      <c r="J41" s="75"/>
      <c r="K41" s="75"/>
      <c r="L41" s="75"/>
      <c r="M41" s="75"/>
      <c r="N41" s="75"/>
      <c r="O41" s="75"/>
    </row>
    <row r="42" spans="1:15" s="2" customFormat="1" ht="23.25" customHeight="1" x14ac:dyDescent="0.3">
      <c r="A42" s="159" t="s">
        <v>268</v>
      </c>
      <c r="B42" s="212"/>
      <c r="C42" s="212"/>
      <c r="D42" s="212"/>
      <c r="E42" s="161"/>
      <c r="F42" s="162"/>
      <c r="G42" s="212"/>
      <c r="H42" s="163">
        <f>SUM(G43:G44)</f>
        <v>483700</v>
      </c>
      <c r="I42" s="142"/>
      <c r="J42" s="120"/>
      <c r="K42" s="120"/>
      <c r="L42" s="120"/>
      <c r="M42" s="120"/>
      <c r="N42" s="120"/>
      <c r="O42" s="120"/>
    </row>
    <row r="43" spans="1:15" ht="16.5" x14ac:dyDescent="0.25">
      <c r="A43" s="198" t="s">
        <v>6</v>
      </c>
      <c r="B43" s="198">
        <v>4266</v>
      </c>
      <c r="C43" s="198">
        <v>4349</v>
      </c>
      <c r="D43" s="273">
        <f>VLOOKUP(RIGHT(LEFT(A42,11),4),'so nguoi'!$A$8:$B$21,2,0)</f>
        <v>8</v>
      </c>
      <c r="E43" s="61">
        <f>C43-B43</f>
        <v>83</v>
      </c>
      <c r="F43" s="62">
        <f>E43</f>
        <v>83</v>
      </c>
      <c r="G43" s="152">
        <f>F43*$L$1</f>
        <v>240700</v>
      </c>
      <c r="H43" s="153"/>
      <c r="I43" s="81"/>
      <c r="J43" s="75"/>
      <c r="K43" s="75"/>
      <c r="L43" s="75"/>
      <c r="M43" s="75"/>
      <c r="N43" s="75"/>
      <c r="O43" s="75"/>
    </row>
    <row r="44" spans="1:15" ht="16.5" x14ac:dyDescent="0.25">
      <c r="A44" s="196" t="s">
        <v>7</v>
      </c>
      <c r="B44" s="196">
        <f>B41</f>
        <v>1503</v>
      </c>
      <c r="C44" s="196">
        <f>C41</f>
        <v>1530</v>
      </c>
      <c r="D44" s="273"/>
      <c r="E44" s="197">
        <f>C44-B44</f>
        <v>27</v>
      </c>
      <c r="F44" s="57">
        <f>IF(D43=0,0,(E44/(D43+D40)*D43))</f>
        <v>13.5</v>
      </c>
      <c r="G44" s="211">
        <f>F44*$L$2</f>
        <v>243000</v>
      </c>
      <c r="H44" s="158"/>
      <c r="I44" s="81"/>
      <c r="J44" s="75"/>
      <c r="K44" s="75"/>
      <c r="L44" s="75"/>
      <c r="M44" s="75"/>
      <c r="N44" s="75"/>
      <c r="O44" s="75"/>
    </row>
    <row r="45" spans="1:15" s="2" customFormat="1" ht="23.25" customHeight="1" x14ac:dyDescent="0.3">
      <c r="A45" s="159" t="s">
        <v>269</v>
      </c>
      <c r="B45" s="212"/>
      <c r="C45" s="212"/>
      <c r="D45" s="212"/>
      <c r="E45" s="161"/>
      <c r="F45" s="162"/>
      <c r="G45" s="212"/>
      <c r="H45" s="163">
        <f>SUM(G46:G47)</f>
        <v>900100</v>
      </c>
      <c r="I45" s="142"/>
      <c r="J45" s="120" t="s">
        <v>67</v>
      </c>
      <c r="K45" s="120">
        <v>215</v>
      </c>
      <c r="L45" s="120">
        <v>298</v>
      </c>
      <c r="M45" s="120">
        <f t="shared" ref="M45:M46" si="3">L45-K45</f>
        <v>83</v>
      </c>
      <c r="N45" s="120">
        <f>SUM('so nguoi'!L42:L47)</f>
        <v>0</v>
      </c>
      <c r="O45" s="120" t="e">
        <f t="shared" ref="O45:O46" si="4">M45/N45</f>
        <v>#DIV/0!</v>
      </c>
    </row>
    <row r="46" spans="1:15" ht="16.5" x14ac:dyDescent="0.25">
      <c r="A46" s="198" t="s">
        <v>6</v>
      </c>
      <c r="B46" s="198">
        <v>3760</v>
      </c>
      <c r="C46" s="198">
        <v>3873</v>
      </c>
      <c r="D46" s="273">
        <f>VLOOKUP(RIGHT(LEFT(A45,11),4),'so nguoi'!$C$8:$N$21,2,0)</f>
        <v>6</v>
      </c>
      <c r="E46" s="61">
        <f>C46-B46</f>
        <v>113</v>
      </c>
      <c r="F46" s="62">
        <f>E46</f>
        <v>113</v>
      </c>
      <c r="G46" s="152">
        <f>F46*$L$1</f>
        <v>327700</v>
      </c>
      <c r="H46" s="153"/>
      <c r="I46" s="81"/>
      <c r="J46" s="75" t="s">
        <v>68</v>
      </c>
      <c r="K46" s="75">
        <v>229</v>
      </c>
      <c r="L46" s="75">
        <v>307</v>
      </c>
      <c r="M46" s="75">
        <f t="shared" si="3"/>
        <v>78</v>
      </c>
      <c r="N46" s="75">
        <f>SUM('so nguoi'!L48:L52)</f>
        <v>0</v>
      </c>
      <c r="O46" s="75" t="e">
        <f t="shared" si="4"/>
        <v>#DIV/0!</v>
      </c>
    </row>
    <row r="47" spans="1:15" ht="16.5" x14ac:dyDescent="0.25">
      <c r="A47" s="196" t="s">
        <v>7</v>
      </c>
      <c r="B47" s="233">
        <v>5710</v>
      </c>
      <c r="C47" s="233">
        <v>5763</v>
      </c>
      <c r="D47" s="273"/>
      <c r="E47" s="197">
        <f>C47-B47</f>
        <v>53</v>
      </c>
      <c r="F47" s="57">
        <f>IF(D46=0,0,(E47/(D46+D49)*D46))</f>
        <v>31.799999999999997</v>
      </c>
      <c r="G47" s="211">
        <f>F47*$L$2</f>
        <v>572400</v>
      </c>
      <c r="H47" s="158"/>
      <c r="I47" s="81"/>
      <c r="J47" s="75"/>
      <c r="K47" s="75"/>
      <c r="L47" s="75"/>
      <c r="M47" s="75"/>
      <c r="N47" s="75"/>
      <c r="O47" s="75"/>
    </row>
    <row r="48" spans="1:15" s="2" customFormat="1" ht="23.25" customHeight="1" x14ac:dyDescent="0.3">
      <c r="A48" s="159" t="s">
        <v>270</v>
      </c>
      <c r="B48" s="212"/>
      <c r="C48" s="212"/>
      <c r="D48" s="212"/>
      <c r="E48" s="161"/>
      <c r="F48" s="162"/>
      <c r="G48" s="212"/>
      <c r="H48" s="163">
        <f>SUM(G49:G50)</f>
        <v>575900</v>
      </c>
      <c r="I48" s="142"/>
      <c r="J48" s="120"/>
      <c r="K48" s="120"/>
      <c r="L48" s="120"/>
      <c r="M48" s="120"/>
      <c r="N48" s="120"/>
      <c r="O48" s="120"/>
    </row>
    <row r="49" spans="1:15" ht="16.5" x14ac:dyDescent="0.25">
      <c r="A49" s="198" t="s">
        <v>6</v>
      </c>
      <c r="B49" s="198">
        <v>3300</v>
      </c>
      <c r="C49" s="198">
        <v>3367</v>
      </c>
      <c r="D49" s="273">
        <f>VLOOKUP(RIGHT(LEFT(A48,11),4),'so nguoi'!$C$8:$N$21,2,0)</f>
        <v>4</v>
      </c>
      <c r="E49" s="61">
        <f>C49-B49</f>
        <v>67</v>
      </c>
      <c r="F49" s="62">
        <f>E49</f>
        <v>67</v>
      </c>
      <c r="G49" s="152">
        <f>F49*$L$1</f>
        <v>194300</v>
      </c>
      <c r="H49" s="153"/>
      <c r="I49" s="81"/>
      <c r="J49" s="120" t="str">
        <f t="shared" ref="J49:J61" si="5">RIGHT(LEFT(A43,11),4)</f>
        <v>Điện</v>
      </c>
      <c r="K49" s="75"/>
      <c r="L49" s="75"/>
      <c r="M49" s="75"/>
      <c r="N49" s="75"/>
      <c r="O49" s="75"/>
    </row>
    <row r="50" spans="1:15" ht="16.5" x14ac:dyDescent="0.25">
      <c r="A50" s="196" t="s">
        <v>7</v>
      </c>
      <c r="B50" s="196">
        <f>B47</f>
        <v>5710</v>
      </c>
      <c r="C50" s="196">
        <f>C47</f>
        <v>5763</v>
      </c>
      <c r="D50" s="273"/>
      <c r="E50" s="197">
        <f>C50-B50</f>
        <v>53</v>
      </c>
      <c r="F50" s="57">
        <f>IF(D49=0,0,(E50/(D49+D46)*D49))</f>
        <v>21.2</v>
      </c>
      <c r="G50" s="211">
        <f>F50*$L$2</f>
        <v>381600</v>
      </c>
      <c r="H50" s="158"/>
      <c r="I50" s="81"/>
      <c r="J50" s="120" t="str">
        <f t="shared" si="5"/>
        <v>Nước</v>
      </c>
      <c r="K50" s="75"/>
      <c r="L50" s="75"/>
      <c r="M50" s="75"/>
      <c r="N50" s="75"/>
      <c r="O50" s="75"/>
    </row>
    <row r="51" spans="1:15" s="2" customFormat="1" ht="23.25" hidden="1" customHeight="1" x14ac:dyDescent="0.3">
      <c r="A51" s="159" t="s">
        <v>271</v>
      </c>
      <c r="B51" s="212"/>
      <c r="C51" s="212"/>
      <c r="D51" s="212"/>
      <c r="E51" s="161"/>
      <c r="F51" s="162"/>
      <c r="G51" s="212"/>
      <c r="H51" s="163">
        <f>SUM(G52:G53)</f>
        <v>0</v>
      </c>
      <c r="I51" s="142"/>
      <c r="J51" s="120" t="str">
        <f>RIGHT(LEFT(A45,11),4)</f>
        <v>C101</v>
      </c>
      <c r="K51" s="120"/>
      <c r="L51" s="120"/>
      <c r="M51" s="120"/>
      <c r="N51" s="120"/>
      <c r="O51" s="120"/>
    </row>
    <row r="52" spans="1:15" ht="16.5" hidden="1" x14ac:dyDescent="0.25">
      <c r="A52" s="198" t="s">
        <v>6</v>
      </c>
      <c r="B52" s="198">
        <v>1976</v>
      </c>
      <c r="C52" s="198">
        <v>1976</v>
      </c>
      <c r="D52" s="273">
        <f>VLOOKUP(RIGHT(LEFT(A51,11),4),'so nguoi'!$C$8:$N$21,2,0)</f>
        <v>0</v>
      </c>
      <c r="E52" s="61">
        <f>C52-B52</f>
        <v>0</v>
      </c>
      <c r="F52" s="62">
        <f>E52</f>
        <v>0</v>
      </c>
      <c r="G52" s="152">
        <f>F52*$L$1</f>
        <v>0</v>
      </c>
      <c r="H52" s="153"/>
      <c r="I52" s="81"/>
      <c r="J52" s="120" t="str">
        <f t="shared" si="5"/>
        <v>Điện</v>
      </c>
      <c r="K52" s="75"/>
      <c r="L52" s="75">
        <f>871-789</f>
        <v>82</v>
      </c>
      <c r="M52" s="75"/>
      <c r="N52" s="75"/>
      <c r="O52" s="75"/>
    </row>
    <row r="53" spans="1:15" ht="16.5" hidden="1" x14ac:dyDescent="0.25">
      <c r="A53" s="196" t="s">
        <v>7</v>
      </c>
      <c r="B53" s="196">
        <v>1506</v>
      </c>
      <c r="C53" s="196">
        <v>1506</v>
      </c>
      <c r="D53" s="273"/>
      <c r="E53" s="197">
        <f>C53-B53</f>
        <v>0</v>
      </c>
      <c r="F53" s="57">
        <f>E53</f>
        <v>0</v>
      </c>
      <c r="G53" s="211">
        <f>F53*$L$2</f>
        <v>0</v>
      </c>
      <c r="H53" s="158"/>
      <c r="I53" s="81"/>
      <c r="J53" s="120" t="str">
        <f t="shared" si="5"/>
        <v>Nước</v>
      </c>
      <c r="K53" s="75"/>
      <c r="L53" s="75">
        <f>789-749</f>
        <v>40</v>
      </c>
      <c r="M53" s="75"/>
      <c r="N53" s="75"/>
      <c r="O53" s="75"/>
    </row>
    <row r="54" spans="1:15" s="2" customFormat="1" ht="23.25" hidden="1" customHeight="1" x14ac:dyDescent="0.3">
      <c r="A54" s="159" t="s">
        <v>272</v>
      </c>
      <c r="B54" s="212"/>
      <c r="C54" s="212"/>
      <c r="D54" s="212"/>
      <c r="E54" s="161"/>
      <c r="F54" s="162"/>
      <c r="G54" s="212"/>
      <c r="H54" s="163">
        <f>IF(D55=0,0,IF(D58=0,SUM(G55:G56)+G58,SUM(G55:G56)))</f>
        <v>0</v>
      </c>
      <c r="I54" s="142"/>
      <c r="J54" s="120" t="str">
        <f t="shared" si="5"/>
        <v>C102</v>
      </c>
      <c r="K54" s="120"/>
      <c r="L54" s="120"/>
      <c r="M54" s="120"/>
      <c r="N54" s="120"/>
      <c r="O54" s="120"/>
    </row>
    <row r="55" spans="1:15" s="59" customFormat="1" ht="16.5" hidden="1" x14ac:dyDescent="0.25">
      <c r="A55" s="198" t="s">
        <v>6</v>
      </c>
      <c r="B55" s="198">
        <v>3473</v>
      </c>
      <c r="C55" s="198">
        <v>3473</v>
      </c>
      <c r="D55" s="273">
        <f>VLOOKUP(RIGHT(LEFT(A54,11),4),'so nguoi'!$C$8:$N$21,2,0)</f>
        <v>0</v>
      </c>
      <c r="E55" s="61">
        <f>C55-B55</f>
        <v>0</v>
      </c>
      <c r="F55" s="62">
        <f>E55</f>
        <v>0</v>
      </c>
      <c r="G55" s="152">
        <f>F55*$L$1</f>
        <v>0</v>
      </c>
      <c r="H55" s="153"/>
      <c r="I55" s="154"/>
      <c r="J55" s="155" t="str">
        <f t="shared" si="5"/>
        <v>Điện</v>
      </c>
      <c r="K55" s="156"/>
      <c r="L55" s="156"/>
      <c r="M55" s="156"/>
      <c r="N55" s="156"/>
      <c r="O55" s="156"/>
    </row>
    <row r="56" spans="1:15" s="59" customFormat="1" ht="16.5" hidden="1" x14ac:dyDescent="0.25">
      <c r="A56" s="196" t="s">
        <v>7</v>
      </c>
      <c r="B56" s="196">
        <v>6177</v>
      </c>
      <c r="C56" s="196">
        <v>6177</v>
      </c>
      <c r="D56" s="273"/>
      <c r="E56" s="197">
        <f>C56-B56</f>
        <v>0</v>
      </c>
      <c r="F56" s="57">
        <f>IF(D55=0,0,(E56/(D55+D58)*D55))</f>
        <v>0</v>
      </c>
      <c r="G56" s="211">
        <f>F56*$L$2</f>
        <v>0</v>
      </c>
      <c r="H56" s="158"/>
      <c r="I56" s="154"/>
      <c r="J56" s="155" t="str">
        <f t="shared" si="5"/>
        <v>Nước</v>
      </c>
      <c r="K56" s="156"/>
      <c r="L56" s="156"/>
      <c r="M56" s="156"/>
      <c r="N56" s="156"/>
      <c r="O56" s="156"/>
    </row>
    <row r="57" spans="1:15" s="165" customFormat="1" ht="23.25" customHeight="1" x14ac:dyDescent="0.3">
      <c r="A57" s="159" t="s">
        <v>273</v>
      </c>
      <c r="B57" s="212"/>
      <c r="C57" s="212"/>
      <c r="D57" s="212"/>
      <c r="E57" s="161"/>
      <c r="F57" s="162"/>
      <c r="G57" s="212"/>
      <c r="H57" s="163">
        <f>IF(D58=0,0,IF(D55=0,SUM(G58:G59)+G55,SUM(G58:G59)))</f>
        <v>958300</v>
      </c>
      <c r="I57" s="164"/>
      <c r="J57" s="155" t="str">
        <f t="shared" si="5"/>
        <v>C103</v>
      </c>
      <c r="K57" s="155"/>
      <c r="L57" s="155"/>
      <c r="M57" s="155"/>
      <c r="N57" s="155"/>
      <c r="O57" s="155"/>
    </row>
    <row r="58" spans="1:15" s="59" customFormat="1" ht="16.5" x14ac:dyDescent="0.25">
      <c r="A58" s="198" t="s">
        <v>6</v>
      </c>
      <c r="B58" s="198">
        <v>3369</v>
      </c>
      <c r="C58" s="198">
        <v>3476</v>
      </c>
      <c r="D58" s="273">
        <f>VLOOKUP(RIGHT(LEFT(A57,11),4),'so nguoi'!$C$8:$N$21,2,0)</f>
        <v>6</v>
      </c>
      <c r="E58" s="61">
        <f>C58-B58</f>
        <v>107</v>
      </c>
      <c r="F58" s="62">
        <f>E58</f>
        <v>107</v>
      </c>
      <c r="G58" s="152">
        <f>F58*$L$1</f>
        <v>310300</v>
      </c>
      <c r="H58" s="153"/>
      <c r="I58" s="154"/>
      <c r="J58" s="155" t="str">
        <f t="shared" si="5"/>
        <v>Điện</v>
      </c>
      <c r="K58" s="156"/>
      <c r="L58" s="156"/>
      <c r="M58" s="156"/>
      <c r="N58" s="156"/>
      <c r="O58" s="156"/>
    </row>
    <row r="59" spans="1:15" s="59" customFormat="1" ht="16.5" x14ac:dyDescent="0.25">
      <c r="A59" s="196" t="s">
        <v>7</v>
      </c>
      <c r="B59" s="196">
        <v>6196</v>
      </c>
      <c r="C59" s="196">
        <v>6232</v>
      </c>
      <c r="D59" s="273"/>
      <c r="E59" s="197">
        <f>C59-B59</f>
        <v>36</v>
      </c>
      <c r="F59" s="57">
        <f>IF(D58=0,0,(E59/(D58+D55)*D58))</f>
        <v>36</v>
      </c>
      <c r="G59" s="211">
        <f>F59*$L$2</f>
        <v>648000</v>
      </c>
      <c r="H59" s="158"/>
      <c r="I59" s="154"/>
      <c r="J59" s="155" t="str">
        <f t="shared" si="5"/>
        <v>Nước</v>
      </c>
      <c r="K59" s="156"/>
      <c r="L59" s="156"/>
      <c r="M59" s="156"/>
      <c r="N59" s="156"/>
      <c r="O59" s="156"/>
    </row>
    <row r="60" spans="1:15" s="2" customFormat="1" ht="23.25" hidden="1" customHeight="1" x14ac:dyDescent="0.3">
      <c r="A60" s="159" t="s">
        <v>274</v>
      </c>
      <c r="B60" s="212"/>
      <c r="C60" s="212"/>
      <c r="D60" s="212"/>
      <c r="E60" s="161"/>
      <c r="F60" s="162"/>
      <c r="G60" s="212"/>
      <c r="H60" s="163">
        <f>SUM(G61:G62)</f>
        <v>0</v>
      </c>
      <c r="I60" s="142"/>
      <c r="J60" s="120" t="str">
        <f t="shared" si="5"/>
        <v>C104</v>
      </c>
      <c r="K60" s="120"/>
      <c r="L60" s="120"/>
      <c r="M60" s="120"/>
      <c r="N60" s="120"/>
      <c r="O60" s="120"/>
    </row>
    <row r="61" spans="1:15" s="59" customFormat="1" ht="16.5" hidden="1" x14ac:dyDescent="0.25">
      <c r="A61" s="198" t="s">
        <v>6</v>
      </c>
      <c r="B61" s="198">
        <v>1485</v>
      </c>
      <c r="C61" s="198">
        <v>1485</v>
      </c>
      <c r="D61" s="273">
        <f>VLOOKUP(RIGHT(LEFT(A60,11),4),'so nguoi'!$C$8:$N$21,2,0)</f>
        <v>0</v>
      </c>
      <c r="E61" s="61">
        <f>C61-B61</f>
        <v>0</v>
      </c>
      <c r="F61" s="62">
        <f>E61</f>
        <v>0</v>
      </c>
      <c r="G61" s="152">
        <f>F61*$L$1</f>
        <v>0</v>
      </c>
      <c r="H61" s="153"/>
      <c r="I61" s="154"/>
      <c r="J61" s="155" t="str">
        <f t="shared" si="5"/>
        <v>Điện</v>
      </c>
      <c r="K61" s="156"/>
      <c r="L61" s="156"/>
      <c r="M61" s="156"/>
      <c r="N61" s="156"/>
      <c r="O61" s="156"/>
    </row>
    <row r="62" spans="1:15" s="59" customFormat="1" ht="16.5" hidden="1" x14ac:dyDescent="0.25">
      <c r="A62" s="196" t="s">
        <v>7</v>
      </c>
      <c r="B62" s="196">
        <v>5491</v>
      </c>
      <c r="C62" s="196">
        <v>5564</v>
      </c>
      <c r="D62" s="273"/>
      <c r="E62" s="197">
        <f>C62-B62</f>
        <v>73</v>
      </c>
      <c r="F62" s="57">
        <f>IF(D61=0,0,(E62/(D61+D64)*D61))</f>
        <v>0</v>
      </c>
      <c r="G62" s="211">
        <f>F62*$L$2</f>
        <v>0</v>
      </c>
      <c r="H62" s="153"/>
      <c r="I62" s="154"/>
      <c r="J62" s="156"/>
      <c r="K62" s="156"/>
      <c r="L62" s="156"/>
      <c r="M62" s="156"/>
      <c r="N62" s="156"/>
      <c r="O62" s="156"/>
    </row>
    <row r="63" spans="1:15" s="2" customFormat="1" ht="23.25" customHeight="1" x14ac:dyDescent="0.3">
      <c r="A63" s="159" t="s">
        <v>275</v>
      </c>
      <c r="B63" s="212"/>
      <c r="C63" s="212"/>
      <c r="D63" s="212"/>
      <c r="E63" s="161"/>
      <c r="F63" s="162"/>
      <c r="G63" s="216"/>
      <c r="H63" s="219">
        <f>SUM(G64:G65)</f>
        <v>1250700</v>
      </c>
      <c r="I63" s="142"/>
      <c r="J63" s="120"/>
      <c r="K63" s="120"/>
      <c r="L63" s="120"/>
      <c r="M63" s="120"/>
      <c r="N63" s="120"/>
      <c r="O63" s="120"/>
    </row>
    <row r="64" spans="1:15" ht="16.5" x14ac:dyDescent="0.25">
      <c r="A64" s="196" t="s">
        <v>6</v>
      </c>
      <c r="B64" s="196">
        <v>5167</v>
      </c>
      <c r="C64" s="196">
        <v>5350</v>
      </c>
      <c r="D64" s="273">
        <f>VLOOKUP(RIGHT(LEFT(A63,11),4),'so nguoi'!$C$8:$N$21,2,0)</f>
        <v>5</v>
      </c>
      <c r="E64" s="61">
        <f>C64-B64</f>
        <v>183</v>
      </c>
      <c r="F64" s="62">
        <f>E64</f>
        <v>183</v>
      </c>
      <c r="G64" s="217">
        <f>F64*$L$1</f>
        <v>530700</v>
      </c>
      <c r="H64" s="245"/>
      <c r="I64" s="81"/>
      <c r="J64" s="75"/>
      <c r="K64" s="75"/>
      <c r="L64" s="75"/>
      <c r="M64" s="75"/>
      <c r="N64" s="75"/>
      <c r="O64" s="75"/>
    </row>
    <row r="65" spans="1:15" s="59" customFormat="1" ht="16.5" x14ac:dyDescent="0.25">
      <c r="A65" s="196" t="s">
        <v>7</v>
      </c>
      <c r="B65" s="196">
        <v>5524</v>
      </c>
      <c r="C65" s="196">
        <f>C62</f>
        <v>5564</v>
      </c>
      <c r="D65" s="273"/>
      <c r="E65" s="197">
        <f>C65-B65</f>
        <v>40</v>
      </c>
      <c r="F65" s="57">
        <f>IF(D64=0,0,(E65/(D64+D61)*D64))</f>
        <v>40</v>
      </c>
      <c r="G65" s="218">
        <f>F65*$L$2</f>
        <v>720000</v>
      </c>
      <c r="H65" s="182"/>
      <c r="I65" s="154"/>
      <c r="J65" s="156"/>
      <c r="K65" s="156"/>
      <c r="L65" s="156"/>
      <c r="M65" s="156"/>
      <c r="N65" s="156"/>
      <c r="O65" s="156"/>
    </row>
    <row r="66" spans="1:15" s="165" customFormat="1" ht="23.25" customHeight="1" x14ac:dyDescent="0.3">
      <c r="A66" s="159" t="s">
        <v>276</v>
      </c>
      <c r="B66" s="212"/>
      <c r="C66" s="212"/>
      <c r="D66" s="212"/>
      <c r="E66" s="161"/>
      <c r="F66" s="162"/>
      <c r="G66" s="212"/>
      <c r="H66" s="163">
        <f>SUM(G67:G68)</f>
        <v>728400</v>
      </c>
      <c r="I66" s="164"/>
      <c r="J66" s="155"/>
      <c r="K66" s="155"/>
      <c r="L66" s="155"/>
      <c r="M66" s="155"/>
      <c r="N66" s="155"/>
      <c r="O66" s="155"/>
    </row>
    <row r="67" spans="1:15" s="59" customFormat="1" ht="16.5" x14ac:dyDescent="0.25">
      <c r="A67" s="198" t="s">
        <v>6</v>
      </c>
      <c r="B67" s="198">
        <v>2506</v>
      </c>
      <c r="C67" s="198">
        <v>2602</v>
      </c>
      <c r="D67" s="273">
        <f>VLOOKUP(RIGHT(LEFT(A66,11),4),'so nguoi'!$C$8:$N$21,2,0)</f>
        <v>5</v>
      </c>
      <c r="E67" s="61">
        <f>C67-B67</f>
        <v>96</v>
      </c>
      <c r="F67" s="62">
        <f>E67</f>
        <v>96</v>
      </c>
      <c r="G67" s="152">
        <f>F67*$L$1</f>
        <v>278400</v>
      </c>
      <c r="H67" s="153"/>
      <c r="I67" s="154"/>
      <c r="J67" s="156"/>
      <c r="K67" s="156"/>
      <c r="L67" s="156"/>
      <c r="M67" s="156"/>
      <c r="N67" s="156"/>
      <c r="O67" s="156"/>
    </row>
    <row r="68" spans="1:15" s="59" customFormat="1" ht="16.5" x14ac:dyDescent="0.25">
      <c r="A68" s="196" t="s">
        <v>7</v>
      </c>
      <c r="B68" s="196">
        <v>6176</v>
      </c>
      <c r="C68" s="196">
        <v>6226</v>
      </c>
      <c r="D68" s="273"/>
      <c r="E68" s="197">
        <f>C68-B68</f>
        <v>50</v>
      </c>
      <c r="F68" s="57">
        <f>IF(D67=0,0,(E68/(D67+D70)*D67))</f>
        <v>25</v>
      </c>
      <c r="G68" s="211">
        <f>F68*$L$2</f>
        <v>450000</v>
      </c>
      <c r="H68" s="153"/>
      <c r="I68" s="154"/>
      <c r="J68" s="156"/>
      <c r="K68" s="156"/>
      <c r="L68" s="156"/>
      <c r="M68" s="156"/>
      <c r="N68" s="156"/>
      <c r="O68" s="156"/>
    </row>
    <row r="69" spans="1:15" s="165" customFormat="1" ht="23.25" customHeight="1" x14ac:dyDescent="0.3">
      <c r="A69" s="159" t="s">
        <v>277</v>
      </c>
      <c r="B69" s="212"/>
      <c r="C69" s="212"/>
      <c r="D69" s="212"/>
      <c r="E69" s="161"/>
      <c r="F69" s="162"/>
      <c r="G69" s="216"/>
      <c r="H69" s="219">
        <f>SUM(G70:G71)</f>
        <v>629800</v>
      </c>
      <c r="I69" s="164"/>
      <c r="J69" s="155"/>
      <c r="K69" s="155"/>
      <c r="L69" s="155"/>
      <c r="M69" s="155"/>
      <c r="N69" s="155"/>
      <c r="O69" s="155"/>
    </row>
    <row r="70" spans="1:15" s="59" customFormat="1" ht="16.5" x14ac:dyDescent="0.25">
      <c r="A70" s="196" t="s">
        <v>6</v>
      </c>
      <c r="B70" s="196">
        <v>1488</v>
      </c>
      <c r="C70" s="196">
        <v>1550</v>
      </c>
      <c r="D70" s="273">
        <f>VLOOKUP(RIGHT(LEFT(A69,11),4),'so nguoi'!$C$8:$N$21,2,0)</f>
        <v>5</v>
      </c>
      <c r="E70" s="61">
        <f>C70-B70</f>
        <v>62</v>
      </c>
      <c r="F70" s="62">
        <f>E70</f>
        <v>62</v>
      </c>
      <c r="G70" s="217">
        <f>F70*$L$1</f>
        <v>179800</v>
      </c>
      <c r="H70" s="153"/>
      <c r="I70" s="154"/>
      <c r="J70" s="156">
        <f>5128-5105</f>
        <v>23</v>
      </c>
      <c r="K70" s="156"/>
      <c r="L70" s="156"/>
      <c r="M70" s="156"/>
      <c r="N70" s="156"/>
      <c r="O70" s="156"/>
    </row>
    <row r="71" spans="1:15" s="59" customFormat="1" ht="16.5" x14ac:dyDescent="0.25">
      <c r="A71" s="196" t="s">
        <v>7</v>
      </c>
      <c r="B71" s="196">
        <f>B68</f>
        <v>6176</v>
      </c>
      <c r="C71" s="196">
        <f>C68</f>
        <v>6226</v>
      </c>
      <c r="D71" s="273"/>
      <c r="E71" s="197">
        <f>C71-B71</f>
        <v>50</v>
      </c>
      <c r="F71" s="57">
        <f>IF(D70=0,0,(E71/(D70+D67)*D70))</f>
        <v>25</v>
      </c>
      <c r="G71" s="218">
        <f>F71*$L$2</f>
        <v>450000</v>
      </c>
      <c r="H71" s="182"/>
      <c r="I71" s="154"/>
      <c r="J71" s="156">
        <f>5105-5080</f>
        <v>25</v>
      </c>
      <c r="K71" s="156"/>
      <c r="L71" s="156"/>
      <c r="M71" s="156"/>
      <c r="N71" s="156"/>
      <c r="O71" s="156"/>
    </row>
    <row r="72" spans="1:15" s="2" customFormat="1" ht="23.25" customHeight="1" x14ac:dyDescent="0.3">
      <c r="A72" s="159" t="s">
        <v>278</v>
      </c>
      <c r="B72" s="212"/>
      <c r="C72" s="212"/>
      <c r="D72" s="212"/>
      <c r="E72" s="161"/>
      <c r="F72" s="162"/>
      <c r="G72" s="212"/>
      <c r="H72" s="163">
        <f>SUM(G73:G74)</f>
        <v>69909.090909090912</v>
      </c>
      <c r="I72" s="142"/>
      <c r="J72" s="120"/>
      <c r="K72" s="120"/>
      <c r="L72" s="120"/>
      <c r="M72" s="120"/>
      <c r="N72" s="120"/>
      <c r="O72" s="120"/>
    </row>
    <row r="73" spans="1:15" s="59" customFormat="1" ht="16.5" x14ac:dyDescent="0.25">
      <c r="A73" s="198" t="s">
        <v>6</v>
      </c>
      <c r="B73" s="198">
        <v>2427</v>
      </c>
      <c r="C73" s="198">
        <v>2437</v>
      </c>
      <c r="D73" s="273">
        <f>VLOOKUP(RIGHT(LEFT(A72,11),4),'so nguoi'!$C$8:$N$21,2,0)</f>
        <v>5</v>
      </c>
      <c r="E73" s="61">
        <f>C73-B73</f>
        <v>10</v>
      </c>
      <c r="F73" s="62">
        <f>E73</f>
        <v>10</v>
      </c>
      <c r="G73" s="152">
        <f>F73*$L$1</f>
        <v>29000</v>
      </c>
      <c r="H73" s="153"/>
      <c r="I73" s="154"/>
      <c r="J73" s="156"/>
      <c r="K73" s="156"/>
      <c r="L73" s="156"/>
      <c r="M73" s="156"/>
      <c r="N73" s="156"/>
      <c r="O73" s="156"/>
    </row>
    <row r="74" spans="1:15" s="59" customFormat="1" ht="16.5" x14ac:dyDescent="0.25">
      <c r="A74" s="196" t="s">
        <v>7</v>
      </c>
      <c r="B74" s="196">
        <v>6375</v>
      </c>
      <c r="C74" s="196">
        <v>6380</v>
      </c>
      <c r="D74" s="273"/>
      <c r="E74" s="197">
        <f>C74-B74</f>
        <v>5</v>
      </c>
      <c r="F74" s="57">
        <f>IF(D73=0,0,(E74/(D73+D76)*D73))</f>
        <v>2.2727272727272725</v>
      </c>
      <c r="G74" s="211">
        <f>F74*$L$2</f>
        <v>40909.090909090904</v>
      </c>
      <c r="H74" s="153"/>
      <c r="I74" s="154"/>
      <c r="J74" s="156"/>
      <c r="K74" s="156"/>
      <c r="L74" s="156"/>
      <c r="M74" s="156"/>
      <c r="N74" s="156"/>
      <c r="O74" s="156"/>
    </row>
    <row r="75" spans="1:15" s="2" customFormat="1" ht="23.25" customHeight="1" x14ac:dyDescent="0.3">
      <c r="A75" s="159" t="s">
        <v>279</v>
      </c>
      <c r="B75" s="212"/>
      <c r="C75" s="212"/>
      <c r="D75" s="212"/>
      <c r="E75" s="161"/>
      <c r="F75" s="162"/>
      <c r="G75" s="216"/>
      <c r="H75" s="219">
        <f>SUM(G76:G77)</f>
        <v>388390.90909090906</v>
      </c>
      <c r="I75" s="142"/>
      <c r="J75" s="120"/>
      <c r="K75" s="120"/>
      <c r="L75" s="120"/>
      <c r="M75" s="120"/>
      <c r="N75" s="120"/>
      <c r="O75" s="120"/>
    </row>
    <row r="76" spans="1:15" ht="16.5" x14ac:dyDescent="0.25">
      <c r="A76" s="196" t="s">
        <v>6</v>
      </c>
      <c r="B76" s="196">
        <v>5608</v>
      </c>
      <c r="C76" s="196">
        <v>5725</v>
      </c>
      <c r="D76" s="273">
        <f>VLOOKUP(RIGHT(LEFT(A75,11),4),'so nguoi'!$C$8:$N$21,2,0)</f>
        <v>6</v>
      </c>
      <c r="E76" s="61">
        <f>C76-B76</f>
        <v>117</v>
      </c>
      <c r="F76" s="62">
        <f>E76</f>
        <v>117</v>
      </c>
      <c r="G76" s="217">
        <f>F76*$L$1</f>
        <v>339300</v>
      </c>
      <c r="H76" s="153"/>
      <c r="I76" s="81"/>
      <c r="J76" s="75"/>
      <c r="K76" s="75"/>
      <c r="L76" s="75"/>
      <c r="M76" s="75"/>
      <c r="N76" s="75"/>
      <c r="O76" s="75"/>
    </row>
    <row r="77" spans="1:15" ht="16.5" x14ac:dyDescent="0.25">
      <c r="A77" s="196" t="s">
        <v>7</v>
      </c>
      <c r="B77" s="196">
        <f>B74</f>
        <v>6375</v>
      </c>
      <c r="C77" s="196">
        <f>C74</f>
        <v>6380</v>
      </c>
      <c r="D77" s="273"/>
      <c r="E77" s="197">
        <f>C77-B77</f>
        <v>5</v>
      </c>
      <c r="F77" s="57">
        <f>IF(D76=0,0,(E77/(D76+D73)*D76))</f>
        <v>2.7272727272727271</v>
      </c>
      <c r="G77" s="218">
        <f>F77*$L$2</f>
        <v>49090.909090909088</v>
      </c>
      <c r="H77" s="182"/>
      <c r="I77" s="81"/>
      <c r="J77" s="75"/>
      <c r="K77" s="75"/>
      <c r="L77" s="75"/>
      <c r="M77" s="75"/>
      <c r="N77" s="75"/>
      <c r="O77" s="75"/>
    </row>
    <row r="78" spans="1:15" s="2" customFormat="1" ht="23.25" customHeight="1" x14ac:dyDescent="0.3">
      <c r="A78" s="159" t="s">
        <v>280</v>
      </c>
      <c r="B78" s="212"/>
      <c r="C78" s="212"/>
      <c r="D78" s="212"/>
      <c r="E78" s="161"/>
      <c r="F78" s="162"/>
      <c r="G78" s="212"/>
      <c r="H78" s="163">
        <f>SUM(G79:G80)</f>
        <v>852327.27272727271</v>
      </c>
      <c r="I78" s="142"/>
      <c r="J78" s="120"/>
      <c r="K78" s="120"/>
      <c r="L78" s="120"/>
      <c r="M78" s="120"/>
      <c r="N78" s="120"/>
      <c r="O78" s="120"/>
    </row>
    <row r="79" spans="1:15" ht="16.5" x14ac:dyDescent="0.25">
      <c r="A79" s="198" t="s">
        <v>6</v>
      </c>
      <c r="B79" s="198">
        <v>1179</v>
      </c>
      <c r="C79" s="198">
        <v>1263</v>
      </c>
      <c r="D79" s="273">
        <f>VLOOKUP(RIGHT(LEFT(A78,11),4),'so nguoi'!$C$8:$N$21,2,0)</f>
        <v>6</v>
      </c>
      <c r="E79" s="61">
        <f>C79-B79</f>
        <v>84</v>
      </c>
      <c r="F79" s="62">
        <f>E79</f>
        <v>84</v>
      </c>
      <c r="G79" s="152">
        <f>F79*$L$1</f>
        <v>243600</v>
      </c>
      <c r="H79" s="153"/>
      <c r="I79" s="81"/>
      <c r="J79" s="205"/>
      <c r="K79" s="75"/>
      <c r="L79" s="75"/>
      <c r="M79" s="75"/>
      <c r="N79" s="75"/>
      <c r="O79" s="75"/>
    </row>
    <row r="80" spans="1:15" ht="16.5" x14ac:dyDescent="0.25">
      <c r="A80" s="196" t="s">
        <v>7</v>
      </c>
      <c r="B80" s="196">
        <v>5694</v>
      </c>
      <c r="C80" s="196">
        <v>5756</v>
      </c>
      <c r="D80" s="273"/>
      <c r="E80" s="197">
        <f>C80-B80</f>
        <v>62</v>
      </c>
      <c r="F80" s="57">
        <f>IF(D79=0,0,(E80/(D79+D82)*D79))</f>
        <v>33.81818181818182</v>
      </c>
      <c r="G80" s="211">
        <f>F80*$L$2</f>
        <v>608727.27272727271</v>
      </c>
      <c r="H80" s="158"/>
      <c r="I80" s="81"/>
      <c r="J80" s="75"/>
      <c r="K80" s="75"/>
      <c r="L80" s="75"/>
      <c r="M80" s="75"/>
      <c r="N80" s="75"/>
      <c r="O80" s="75"/>
    </row>
    <row r="81" spans="1:15" s="2" customFormat="1" ht="23.25" customHeight="1" x14ac:dyDescent="0.3">
      <c r="A81" s="159" t="s">
        <v>281</v>
      </c>
      <c r="B81" s="212"/>
      <c r="C81" s="212"/>
      <c r="D81" s="212"/>
      <c r="E81" s="161"/>
      <c r="F81" s="162"/>
      <c r="G81" s="212"/>
      <c r="H81" s="163">
        <f>SUM(G82:G83)</f>
        <v>858172.72727272729</v>
      </c>
      <c r="I81" s="142"/>
      <c r="J81" s="120"/>
      <c r="K81" s="120"/>
      <c r="L81" s="120"/>
      <c r="M81" s="120"/>
      <c r="N81" s="120"/>
      <c r="O81" s="120"/>
    </row>
    <row r="82" spans="1:15" ht="16.5" x14ac:dyDescent="0.25">
      <c r="A82" s="198" t="s">
        <v>6</v>
      </c>
      <c r="B82" s="198">
        <v>3614</v>
      </c>
      <c r="C82" s="198">
        <v>3735</v>
      </c>
      <c r="D82" s="273">
        <f>VLOOKUP(RIGHT(LEFT(A81,11),4),'so nguoi'!$C$8:$N$21,2,0)</f>
        <v>5</v>
      </c>
      <c r="E82" s="61">
        <f>C82-B82</f>
        <v>121</v>
      </c>
      <c r="F82" s="62">
        <f>E82</f>
        <v>121</v>
      </c>
      <c r="G82" s="152">
        <f>F82*$L$1</f>
        <v>350900</v>
      </c>
      <c r="H82" s="153"/>
      <c r="I82" s="81"/>
      <c r="J82" s="75"/>
      <c r="K82" s="75"/>
      <c r="L82" s="75"/>
      <c r="M82" s="75"/>
      <c r="N82" s="75"/>
      <c r="O82" s="75"/>
    </row>
    <row r="83" spans="1:15" ht="16.5" x14ac:dyDescent="0.25">
      <c r="A83" s="196" t="s">
        <v>7</v>
      </c>
      <c r="B83" s="196">
        <f>B80</f>
        <v>5694</v>
      </c>
      <c r="C83" s="196">
        <f>C80</f>
        <v>5756</v>
      </c>
      <c r="D83" s="273"/>
      <c r="E83" s="197">
        <f>C83-B83</f>
        <v>62</v>
      </c>
      <c r="F83" s="57">
        <f>IF(D82=0,0,(E83/(D82+D79)*D82))</f>
        <v>28.181818181818183</v>
      </c>
      <c r="G83" s="211">
        <f>F83*$L$2</f>
        <v>507272.72727272729</v>
      </c>
      <c r="H83" s="158"/>
      <c r="I83" s="81"/>
      <c r="J83" s="75"/>
      <c r="K83" s="75"/>
      <c r="L83" s="75"/>
      <c r="M83" s="75"/>
      <c r="N83" s="75"/>
      <c r="O83" s="75"/>
    </row>
    <row r="84" spans="1:15" s="192" customFormat="1" ht="23.25" customHeight="1" x14ac:dyDescent="0.3">
      <c r="A84" s="159" t="s">
        <v>297</v>
      </c>
      <c r="B84" s="212"/>
      <c r="C84" s="212"/>
      <c r="D84" s="212"/>
      <c r="E84" s="161"/>
      <c r="F84" s="162"/>
      <c r="G84" s="212"/>
      <c r="H84" s="163">
        <f>SUM(G85:G86)</f>
        <v>1522400</v>
      </c>
      <c r="I84" s="210"/>
      <c r="J84" s="204"/>
      <c r="K84" s="204"/>
      <c r="L84" s="204"/>
      <c r="M84" s="204"/>
      <c r="N84" s="204"/>
      <c r="O84" s="204"/>
    </row>
    <row r="85" spans="1:15" s="191" customFormat="1" ht="16.5" x14ac:dyDescent="0.25">
      <c r="A85" s="198" t="s">
        <v>6</v>
      </c>
      <c r="B85" s="198">
        <v>2731</v>
      </c>
      <c r="C85" s="198">
        <v>2927</v>
      </c>
      <c r="D85" s="273">
        <f>VLOOKUP(RIGHT(LEFT(A84,11),4),'so nguoi'!$C$8:$N$21,2,0)</f>
        <v>7</v>
      </c>
      <c r="E85" s="61">
        <f>C85-B85</f>
        <v>196</v>
      </c>
      <c r="F85" s="62">
        <f>E85</f>
        <v>196</v>
      </c>
      <c r="G85" s="152">
        <f>F85*$L$1</f>
        <v>568400</v>
      </c>
      <c r="H85" s="153"/>
      <c r="I85" s="200"/>
      <c r="J85" s="199"/>
      <c r="K85" s="199"/>
      <c r="L85" s="199"/>
      <c r="M85" s="199"/>
      <c r="N85" s="199"/>
      <c r="O85" s="199"/>
    </row>
    <row r="86" spans="1:15" s="191" customFormat="1" ht="16.5" x14ac:dyDescent="0.25">
      <c r="A86" s="196" t="s">
        <v>7</v>
      </c>
      <c r="B86" s="196">
        <v>2756</v>
      </c>
      <c r="C86" s="196">
        <v>2809</v>
      </c>
      <c r="D86" s="273"/>
      <c r="E86" s="197">
        <f>C86-B86</f>
        <v>53</v>
      </c>
      <c r="F86" s="57">
        <f>E86</f>
        <v>53</v>
      </c>
      <c r="G86" s="211">
        <f>F86*$L$2</f>
        <v>954000</v>
      </c>
      <c r="H86" s="158"/>
      <c r="I86" s="200"/>
      <c r="J86" s="199"/>
      <c r="K86" s="199"/>
      <c r="L86" s="199"/>
      <c r="M86" s="199"/>
      <c r="N86" s="199"/>
      <c r="O86" s="199"/>
    </row>
    <row r="87" spans="1:15" s="2" customFormat="1" ht="23.25" customHeight="1" x14ac:dyDescent="0.3">
      <c r="A87" s="159" t="s">
        <v>282</v>
      </c>
      <c r="B87" s="212"/>
      <c r="C87" s="212"/>
      <c r="D87" s="212"/>
      <c r="E87" s="161"/>
      <c r="F87" s="162"/>
      <c r="G87" s="212"/>
      <c r="H87" s="163">
        <f>SUM(G88:G89)</f>
        <v>535600</v>
      </c>
      <c r="I87" s="142"/>
      <c r="J87" s="120"/>
      <c r="K87" s="120"/>
      <c r="L87" s="120"/>
      <c r="M87" s="120"/>
      <c r="N87" s="120"/>
      <c r="O87" s="120"/>
    </row>
    <row r="88" spans="1:15" ht="16.5" x14ac:dyDescent="0.25">
      <c r="A88" s="198" t="s">
        <v>6</v>
      </c>
      <c r="B88" s="198">
        <v>2129</v>
      </c>
      <c r="C88" s="198">
        <v>2233</v>
      </c>
      <c r="D88" s="273">
        <f>VLOOKUP(RIGHT(LEFT(A87,11),4),'so nguoi'!$E$8:$N$21,2,0)</f>
        <v>5</v>
      </c>
      <c r="E88" s="61">
        <f>C88-B88</f>
        <v>104</v>
      </c>
      <c r="F88" s="62">
        <f>E88</f>
        <v>104</v>
      </c>
      <c r="G88" s="152">
        <f>F88*$L$1</f>
        <v>301600</v>
      </c>
      <c r="H88" s="153"/>
      <c r="I88" s="81"/>
      <c r="J88" s="75"/>
      <c r="K88" s="75"/>
      <c r="L88" s="75"/>
      <c r="M88" s="75"/>
      <c r="N88" s="75"/>
      <c r="O88" s="75"/>
    </row>
    <row r="89" spans="1:15" ht="16.5" x14ac:dyDescent="0.25">
      <c r="A89" s="196" t="s">
        <v>7</v>
      </c>
      <c r="B89" s="196">
        <v>777</v>
      </c>
      <c r="C89" s="196">
        <v>803</v>
      </c>
      <c r="D89" s="273"/>
      <c r="E89" s="197">
        <f>C89-B89</f>
        <v>26</v>
      </c>
      <c r="F89" s="57">
        <f>IF(D88=0,0,(E89/(D88+D91)*D88))</f>
        <v>13</v>
      </c>
      <c r="G89" s="211">
        <f>F89*$L$2</f>
        <v>234000</v>
      </c>
      <c r="H89" s="158"/>
      <c r="I89" s="81"/>
      <c r="J89" s="75"/>
      <c r="K89" s="75"/>
      <c r="L89" s="75"/>
      <c r="M89" s="75"/>
      <c r="N89" s="75"/>
      <c r="O89" s="75"/>
    </row>
    <row r="90" spans="1:15" s="2" customFormat="1" ht="23.25" customHeight="1" x14ac:dyDescent="0.3">
      <c r="A90" s="159" t="s">
        <v>283</v>
      </c>
      <c r="B90" s="212"/>
      <c r="C90" s="212"/>
      <c r="D90" s="212"/>
      <c r="E90" s="161"/>
      <c r="F90" s="162"/>
      <c r="G90" s="212"/>
      <c r="H90" s="163">
        <f>SUM(G91:G92)</f>
        <v>666100</v>
      </c>
      <c r="I90" s="142"/>
      <c r="J90" s="120"/>
      <c r="K90" s="120"/>
      <c r="L90" s="120"/>
      <c r="M90" s="120"/>
      <c r="N90" s="120"/>
      <c r="O90" s="120"/>
    </row>
    <row r="91" spans="1:15" s="59" customFormat="1" ht="16.5" x14ac:dyDescent="0.25">
      <c r="A91" s="198" t="s">
        <v>6</v>
      </c>
      <c r="B91" s="198">
        <v>1622</v>
      </c>
      <c r="C91" s="198">
        <v>1771</v>
      </c>
      <c r="D91" s="273">
        <f>VLOOKUP(RIGHT(LEFT(A90,11),4),'so nguoi'!$E$8:$N$21,2,0)</f>
        <v>5</v>
      </c>
      <c r="E91" s="61">
        <f>C91-B91</f>
        <v>149</v>
      </c>
      <c r="F91" s="62">
        <f>E91</f>
        <v>149</v>
      </c>
      <c r="G91" s="152">
        <f>F91*$L$1</f>
        <v>432100</v>
      </c>
      <c r="H91" s="153"/>
      <c r="I91" s="154"/>
      <c r="J91" s="156"/>
      <c r="K91" s="156"/>
      <c r="L91" s="156"/>
      <c r="M91" s="156"/>
      <c r="N91" s="156"/>
      <c r="O91" s="156"/>
    </row>
    <row r="92" spans="1:15" s="59" customFormat="1" ht="16.5" x14ac:dyDescent="0.25">
      <c r="A92" s="196" t="s">
        <v>7</v>
      </c>
      <c r="B92" s="196">
        <f>B89</f>
        <v>777</v>
      </c>
      <c r="C92" s="196">
        <f>C89</f>
        <v>803</v>
      </c>
      <c r="D92" s="273"/>
      <c r="E92" s="197">
        <f>C92-B92</f>
        <v>26</v>
      </c>
      <c r="F92" s="57">
        <f>IF(D91=0,0,(E92/(D91+D88)*D91))</f>
        <v>13</v>
      </c>
      <c r="G92" s="211">
        <f>F92*$L$2</f>
        <v>234000</v>
      </c>
      <c r="H92" s="158"/>
      <c r="I92" s="154"/>
      <c r="J92" s="156"/>
      <c r="K92" s="156"/>
      <c r="L92" s="156"/>
      <c r="M92" s="156"/>
      <c r="N92" s="156"/>
      <c r="O92" s="156"/>
    </row>
    <row r="93" spans="1:15" s="2" customFormat="1" ht="23.25" customHeight="1" x14ac:dyDescent="0.3">
      <c r="A93" s="159" t="s">
        <v>284</v>
      </c>
      <c r="B93" s="212"/>
      <c r="C93" s="212"/>
      <c r="D93" s="212"/>
      <c r="E93" s="161"/>
      <c r="F93" s="162"/>
      <c r="G93" s="212"/>
      <c r="H93" s="163">
        <f>SUM(G94:G95)</f>
        <v>904800</v>
      </c>
      <c r="I93" s="142"/>
      <c r="J93" s="120"/>
      <c r="K93" s="120"/>
      <c r="L93" s="120"/>
      <c r="M93" s="120"/>
      <c r="N93" s="120"/>
      <c r="O93" s="120"/>
    </row>
    <row r="94" spans="1:15" ht="16.5" x14ac:dyDescent="0.25">
      <c r="A94" s="198" t="s">
        <v>6</v>
      </c>
      <c r="B94" s="198">
        <v>1475</v>
      </c>
      <c r="C94" s="198">
        <v>1607</v>
      </c>
      <c r="D94" s="273">
        <f>VLOOKUP(RIGHT(LEFT(A93,11),4),'so nguoi'!$E$8:$N$21,2,0)</f>
        <v>6</v>
      </c>
      <c r="E94" s="61">
        <f>C94-B94</f>
        <v>132</v>
      </c>
      <c r="F94" s="62">
        <f>E94</f>
        <v>132</v>
      </c>
      <c r="G94" s="152">
        <f>F94*$L$1</f>
        <v>382800</v>
      </c>
      <c r="H94" s="153"/>
      <c r="I94" s="81"/>
      <c r="J94" s="75"/>
      <c r="K94" s="75"/>
      <c r="L94" s="75"/>
      <c r="M94" s="75"/>
      <c r="N94" s="75"/>
      <c r="O94" s="75"/>
    </row>
    <row r="95" spans="1:15" ht="16.5" x14ac:dyDescent="0.25">
      <c r="A95" s="196" t="s">
        <v>7</v>
      </c>
      <c r="B95" s="196">
        <v>552</v>
      </c>
      <c r="C95" s="196">
        <v>581</v>
      </c>
      <c r="D95" s="273"/>
      <c r="E95" s="197">
        <f>C95-B95</f>
        <v>29</v>
      </c>
      <c r="F95" s="57">
        <f>E95</f>
        <v>29</v>
      </c>
      <c r="G95" s="211">
        <f>F95*$L$2</f>
        <v>522000</v>
      </c>
      <c r="H95" s="153"/>
      <c r="I95" s="81"/>
      <c r="J95" s="75"/>
      <c r="K95" s="75"/>
      <c r="L95" s="75"/>
      <c r="M95" s="75"/>
      <c r="N95" s="75"/>
      <c r="O95" s="75"/>
    </row>
    <row r="96" spans="1:15" s="2" customFormat="1" ht="23.25" hidden="1" customHeight="1" x14ac:dyDescent="0.3">
      <c r="A96" s="159" t="s">
        <v>285</v>
      </c>
      <c r="B96" s="212"/>
      <c r="C96" s="212"/>
      <c r="D96" s="212"/>
      <c r="E96" s="161"/>
      <c r="F96" s="162"/>
      <c r="G96" s="216"/>
      <c r="H96" s="219">
        <f>SUM(G97:G98)</f>
        <v>0</v>
      </c>
      <c r="I96" s="142"/>
      <c r="J96" s="120"/>
      <c r="K96" s="120"/>
      <c r="L96" s="120"/>
      <c r="M96" s="120"/>
      <c r="N96" s="120"/>
      <c r="O96" s="120"/>
    </row>
    <row r="97" spans="1:15" ht="16.5" hidden="1" x14ac:dyDescent="0.25">
      <c r="A97" s="196" t="s">
        <v>6</v>
      </c>
      <c r="B97" s="196">
        <v>2890</v>
      </c>
      <c r="C97" s="196">
        <v>2890</v>
      </c>
      <c r="D97" s="273">
        <f>VLOOKUP(RIGHT(LEFT(A96,11),4),'so nguoi'!$E$8:$N$21,2,0)</f>
        <v>0</v>
      </c>
      <c r="E97" s="61">
        <f>C97-B97</f>
        <v>0</v>
      </c>
      <c r="F97" s="62">
        <f>E97</f>
        <v>0</v>
      </c>
      <c r="G97" s="217">
        <f>F97*$L$1</f>
        <v>0</v>
      </c>
      <c r="H97" s="245"/>
      <c r="I97" s="81"/>
      <c r="J97" s="75"/>
      <c r="K97" s="75"/>
      <c r="L97" s="75"/>
      <c r="M97" s="75"/>
      <c r="N97" s="75"/>
      <c r="O97" s="75"/>
    </row>
    <row r="98" spans="1:15" ht="16.5" hidden="1" x14ac:dyDescent="0.25">
      <c r="A98" s="196" t="s">
        <v>7</v>
      </c>
      <c r="B98" s="196">
        <v>1042</v>
      </c>
      <c r="C98" s="196">
        <v>1042</v>
      </c>
      <c r="D98" s="273"/>
      <c r="E98" s="197">
        <f>C98-B98</f>
        <v>0</v>
      </c>
      <c r="F98" s="57">
        <f>IF(D97=0,0,(E98/(D97+D100)*D97))</f>
        <v>0</v>
      </c>
      <c r="G98" s="218">
        <f>F98*$L$2</f>
        <v>0</v>
      </c>
      <c r="H98" s="182"/>
      <c r="I98" s="81"/>
      <c r="J98" s="75"/>
      <c r="K98" s="75"/>
      <c r="L98" s="75"/>
      <c r="M98" s="75"/>
      <c r="N98" s="75"/>
      <c r="O98" s="75"/>
    </row>
    <row r="99" spans="1:15" s="165" customFormat="1" ht="23.25" hidden="1" customHeight="1" x14ac:dyDescent="0.3">
      <c r="A99" s="159" t="s">
        <v>286</v>
      </c>
      <c r="B99" s="212"/>
      <c r="C99" s="212"/>
      <c r="D99" s="212"/>
      <c r="E99" s="161"/>
      <c r="F99" s="162"/>
      <c r="G99" s="212"/>
      <c r="H99" s="163">
        <f>SUM(G100:G101)</f>
        <v>0</v>
      </c>
      <c r="I99" s="164"/>
      <c r="J99" s="155"/>
      <c r="K99" s="155"/>
      <c r="L99" s="155"/>
      <c r="M99" s="155"/>
      <c r="N99" s="155"/>
      <c r="O99" s="155"/>
    </row>
    <row r="100" spans="1:15" ht="16.5" hidden="1" x14ac:dyDescent="0.25">
      <c r="A100" s="198" t="s">
        <v>6</v>
      </c>
      <c r="B100" s="198">
        <v>2520</v>
      </c>
      <c r="C100" s="198">
        <v>2520</v>
      </c>
      <c r="D100" s="273">
        <f>VLOOKUP(RIGHT(LEFT(A99,11),4),'so nguoi'!$E$8:$N$21,2,0)</f>
        <v>0</v>
      </c>
      <c r="E100" s="61">
        <f>C100-B100</f>
        <v>0</v>
      </c>
      <c r="F100" s="62">
        <f>E100</f>
        <v>0</v>
      </c>
      <c r="G100" s="152">
        <f>F100*$L$1</f>
        <v>0</v>
      </c>
      <c r="H100" s="153"/>
      <c r="I100" s="81"/>
      <c r="J100" s="75"/>
      <c r="K100" s="75"/>
      <c r="L100" s="75"/>
      <c r="M100" s="75"/>
      <c r="N100" s="75"/>
      <c r="O100" s="75"/>
    </row>
    <row r="101" spans="1:15" ht="16.5" hidden="1" x14ac:dyDescent="0.25">
      <c r="A101" s="196" t="s">
        <v>7</v>
      </c>
      <c r="B101" s="196">
        <f>B98</f>
        <v>1042</v>
      </c>
      <c r="C101" s="196">
        <f>C98</f>
        <v>1042</v>
      </c>
      <c r="D101" s="273"/>
      <c r="E101" s="197">
        <f>C101-B101</f>
        <v>0</v>
      </c>
      <c r="F101" s="57">
        <f>IF(D100=0,0,(E101/(D100+D97)*D100))</f>
        <v>0</v>
      </c>
      <c r="G101" s="211">
        <f>F101*$L$2</f>
        <v>0</v>
      </c>
      <c r="H101" s="158"/>
      <c r="I101" s="81"/>
      <c r="J101" s="75"/>
      <c r="K101" s="75"/>
      <c r="L101" s="75"/>
      <c r="M101" s="75"/>
      <c r="N101" s="75"/>
      <c r="O101" s="75"/>
    </row>
    <row r="102" spans="1:15" s="2" customFormat="1" ht="23.25" customHeight="1" x14ac:dyDescent="0.3">
      <c r="A102" s="159" t="s">
        <v>287</v>
      </c>
      <c r="B102" s="212"/>
      <c r="C102" s="212"/>
      <c r="D102" s="212"/>
      <c r="E102" s="161"/>
      <c r="F102" s="162"/>
      <c r="G102" s="212"/>
      <c r="H102" s="163">
        <f>IF(D103=0,0,IF(D106=0,SUM(G103:G104)+G106,SUM(G103:G104)))</f>
        <v>656800</v>
      </c>
      <c r="I102" s="142">
        <f>IF(D106=0,SUM(G103:G104)+G106,SUM(G103:G104))</f>
        <v>656800</v>
      </c>
      <c r="J102" s="120">
        <f>IF(D103=0,0,IF(D106=0,SUM(G103:G104)+G106,SUM(G103:G104)))</f>
        <v>656800</v>
      </c>
      <c r="K102" s="120"/>
      <c r="L102" s="120"/>
      <c r="M102" s="120"/>
      <c r="N102" s="120"/>
      <c r="O102" s="120"/>
    </row>
    <row r="103" spans="1:15" ht="16.5" x14ac:dyDescent="0.25">
      <c r="A103" s="198" t="s">
        <v>6</v>
      </c>
      <c r="B103" s="198">
        <v>2585</v>
      </c>
      <c r="C103" s="198">
        <v>2737</v>
      </c>
      <c r="D103" s="273">
        <f>VLOOKUP(RIGHT(LEFT(A102,11),4),'so nguoi'!$E$8:$N$21,2,0)</f>
        <v>5</v>
      </c>
      <c r="E103" s="61">
        <f>C103-B103</f>
        <v>152</v>
      </c>
      <c r="F103" s="62">
        <f>E103</f>
        <v>152</v>
      </c>
      <c r="G103" s="152">
        <f>F103*$L$1</f>
        <v>440800</v>
      </c>
      <c r="H103" s="153"/>
      <c r="I103" s="81"/>
      <c r="J103" s="75"/>
      <c r="K103" s="75"/>
      <c r="L103" s="75"/>
      <c r="M103" s="75"/>
      <c r="N103" s="75"/>
      <c r="O103" s="75"/>
    </row>
    <row r="104" spans="1:15" ht="16.5" x14ac:dyDescent="0.25">
      <c r="A104" s="196" t="s">
        <v>7</v>
      </c>
      <c r="B104" s="196">
        <v>1117</v>
      </c>
      <c r="C104" s="196">
        <v>1129</v>
      </c>
      <c r="D104" s="273"/>
      <c r="E104" s="197">
        <f>C104-B104</f>
        <v>12</v>
      </c>
      <c r="F104" s="57">
        <f>IF(D103=0,0,(E104/(D103+D106)*D103))</f>
        <v>12</v>
      </c>
      <c r="G104" s="211">
        <f>F104*$L$2</f>
        <v>216000</v>
      </c>
      <c r="H104" s="158"/>
      <c r="I104" s="81"/>
      <c r="J104" s="75"/>
      <c r="K104" s="75"/>
      <c r="L104" s="75"/>
      <c r="M104" s="75"/>
      <c r="N104" s="75"/>
      <c r="O104" s="75"/>
    </row>
    <row r="105" spans="1:15" s="2" customFormat="1" ht="23.25" hidden="1" customHeight="1" x14ac:dyDescent="0.3">
      <c r="A105" s="159" t="s">
        <v>288</v>
      </c>
      <c r="B105" s="212"/>
      <c r="C105" s="212"/>
      <c r="D105" s="212"/>
      <c r="E105" s="161"/>
      <c r="F105" s="162"/>
      <c r="G105" s="212"/>
      <c r="H105" s="163">
        <f>IF(D106=0,0,IF(D103=0,SUM(G106:G107)+G103,SUM(G106:G107)))</f>
        <v>0</v>
      </c>
      <c r="I105" s="142"/>
      <c r="J105" s="120"/>
      <c r="K105" s="120"/>
      <c r="L105" s="120"/>
      <c r="M105" s="120"/>
      <c r="N105" s="120"/>
      <c r="O105" s="120"/>
    </row>
    <row r="106" spans="1:15" ht="16.5" hidden="1" x14ac:dyDescent="0.25">
      <c r="A106" s="198" t="s">
        <v>6</v>
      </c>
      <c r="B106" s="198">
        <v>2331</v>
      </c>
      <c r="C106" s="198">
        <v>2331</v>
      </c>
      <c r="D106" s="273">
        <f>VLOOKUP(RIGHT(LEFT(A105,11),4),'so nguoi'!$E$8:$N$21,2,0)</f>
        <v>0</v>
      </c>
      <c r="E106" s="61">
        <f>C106-B106</f>
        <v>0</v>
      </c>
      <c r="F106" s="62">
        <f>E106</f>
        <v>0</v>
      </c>
      <c r="G106" s="152">
        <f>F106*$L$1</f>
        <v>0</v>
      </c>
      <c r="H106" s="153"/>
      <c r="I106" s="81"/>
      <c r="J106" s="75"/>
      <c r="K106" s="75"/>
      <c r="L106" s="75"/>
      <c r="M106" s="75"/>
      <c r="N106" s="75"/>
      <c r="O106" s="75"/>
    </row>
    <row r="107" spans="1:15" ht="16.5" hidden="1" x14ac:dyDescent="0.25">
      <c r="A107" s="196" t="s">
        <v>7</v>
      </c>
      <c r="B107" s="196">
        <f>B104</f>
        <v>1117</v>
      </c>
      <c r="C107" s="196">
        <f>C104</f>
        <v>1129</v>
      </c>
      <c r="D107" s="273"/>
      <c r="E107" s="197">
        <f>C107-B107</f>
        <v>12</v>
      </c>
      <c r="F107" s="57">
        <f>IF(D106=0,0,(E107/(D106+D103)*D106))</f>
        <v>0</v>
      </c>
      <c r="G107" s="211">
        <f>F107*$L$2</f>
        <v>0</v>
      </c>
      <c r="H107" s="158"/>
      <c r="I107" s="81"/>
      <c r="J107" s="75"/>
      <c r="K107" s="75"/>
      <c r="L107" s="75"/>
      <c r="M107" s="75"/>
      <c r="N107" s="75"/>
      <c r="O107" s="75"/>
    </row>
    <row r="108" spans="1:15" s="2" customFormat="1" ht="23.25" hidden="1" customHeight="1" x14ac:dyDescent="0.3">
      <c r="A108" s="159" t="s">
        <v>289</v>
      </c>
      <c r="B108" s="212"/>
      <c r="C108" s="212"/>
      <c r="D108" s="212"/>
      <c r="E108" s="161"/>
      <c r="F108" s="162"/>
      <c r="G108" s="212"/>
      <c r="H108" s="163">
        <f>SUM(G109:G110)</f>
        <v>0</v>
      </c>
      <c r="I108" s="142"/>
      <c r="J108" s="120"/>
      <c r="K108" s="120"/>
      <c r="L108" s="120"/>
      <c r="M108" s="120"/>
      <c r="N108" s="120"/>
      <c r="O108" s="120"/>
    </row>
    <row r="109" spans="1:15" ht="16.5" hidden="1" x14ac:dyDescent="0.25">
      <c r="A109" s="198" t="s">
        <v>6</v>
      </c>
      <c r="B109" s="198">
        <v>4085</v>
      </c>
      <c r="C109" s="198">
        <v>4085</v>
      </c>
      <c r="D109" s="273">
        <f>VLOOKUP(RIGHT(LEFT(A108,11),4),'so nguoi'!$E$8:$N$21,2,0)</f>
        <v>0</v>
      </c>
      <c r="E109" s="61">
        <f>C109-B109</f>
        <v>0</v>
      </c>
      <c r="F109" s="62">
        <f>E109</f>
        <v>0</v>
      </c>
      <c r="G109" s="152">
        <f>F109*$L$1</f>
        <v>0</v>
      </c>
      <c r="H109" s="153"/>
      <c r="I109" s="81"/>
      <c r="J109" s="75"/>
      <c r="K109" s="75"/>
      <c r="L109" s="75"/>
      <c r="M109" s="75"/>
      <c r="N109" s="75"/>
      <c r="O109" s="75"/>
    </row>
    <row r="110" spans="1:15" s="189" customFormat="1" ht="16.5" hidden="1" x14ac:dyDescent="0.25">
      <c r="A110" s="196" t="s">
        <v>7</v>
      </c>
      <c r="B110" s="196">
        <v>1025</v>
      </c>
      <c r="C110" s="196">
        <v>1025</v>
      </c>
      <c r="D110" s="273"/>
      <c r="E110" s="197">
        <f>C110-B110</f>
        <v>0</v>
      </c>
      <c r="F110" s="57">
        <f>IF(D109=0,0,(E110/(D109+D112)*D109))</f>
        <v>0</v>
      </c>
      <c r="G110" s="211">
        <f>F110*$L$2</f>
        <v>0</v>
      </c>
      <c r="H110" s="188"/>
      <c r="I110" s="190"/>
      <c r="J110" s="187"/>
      <c r="K110" s="187"/>
      <c r="L110" s="187"/>
      <c r="M110" s="187"/>
      <c r="N110" s="187"/>
      <c r="O110" s="187"/>
    </row>
    <row r="111" spans="1:15" s="2" customFormat="1" ht="23.25" hidden="1" customHeight="1" x14ac:dyDescent="0.3">
      <c r="A111" s="159" t="s">
        <v>290</v>
      </c>
      <c r="B111" s="212"/>
      <c r="C111" s="212"/>
      <c r="D111" s="212"/>
      <c r="E111" s="161"/>
      <c r="F111" s="162"/>
      <c r="G111" s="212"/>
      <c r="H111" s="163">
        <f>SUM(G112:G113)</f>
        <v>0</v>
      </c>
      <c r="I111" s="142"/>
      <c r="J111" s="120"/>
      <c r="K111" s="120"/>
      <c r="L111" s="120"/>
      <c r="M111" s="120"/>
      <c r="N111" s="120"/>
      <c r="O111" s="120"/>
    </row>
    <row r="112" spans="1:15" ht="16.5" hidden="1" x14ac:dyDescent="0.25">
      <c r="A112" s="198" t="s">
        <v>6</v>
      </c>
      <c r="B112" s="198">
        <v>1632</v>
      </c>
      <c r="C112" s="198">
        <v>1632</v>
      </c>
      <c r="D112" s="273">
        <f>VLOOKUP(RIGHT(LEFT(A111,11),4),'so nguoi'!$E$8:$N$21,2,0)</f>
        <v>0</v>
      </c>
      <c r="E112" s="61">
        <f>C112-B112</f>
        <v>0</v>
      </c>
      <c r="F112" s="62">
        <f>E112</f>
        <v>0</v>
      </c>
      <c r="G112" s="152">
        <f>F112*$L$1</f>
        <v>0</v>
      </c>
      <c r="H112" s="153"/>
      <c r="I112" s="81"/>
      <c r="J112" s="75"/>
      <c r="K112" s="75"/>
      <c r="L112" s="75"/>
      <c r="M112" s="75"/>
      <c r="N112" s="75"/>
      <c r="O112" s="75"/>
    </row>
    <row r="113" spans="1:15" s="189" customFormat="1" ht="16.5" hidden="1" x14ac:dyDescent="0.25">
      <c r="A113" s="196" t="s">
        <v>7</v>
      </c>
      <c r="B113" s="196">
        <f>B110</f>
        <v>1025</v>
      </c>
      <c r="C113" s="196">
        <f>C110</f>
        <v>1025</v>
      </c>
      <c r="D113" s="273"/>
      <c r="E113" s="197">
        <f>C113-B113</f>
        <v>0</v>
      </c>
      <c r="F113" s="57">
        <f>IF(D112=0,0,(E113/(D112+D109)*D112))</f>
        <v>0</v>
      </c>
      <c r="G113" s="211">
        <f>F113*$L$2</f>
        <v>0</v>
      </c>
      <c r="H113" s="188"/>
      <c r="I113" s="190">
        <f>SUM(H66:H113)</f>
        <v>7812700</v>
      </c>
      <c r="J113" s="187"/>
      <c r="K113" s="187"/>
      <c r="L113" s="187"/>
      <c r="M113" s="187"/>
      <c r="N113" s="187"/>
      <c r="O113" s="187"/>
    </row>
    <row r="114" spans="1:15" s="192" customFormat="1" ht="23.25" hidden="1" customHeight="1" x14ac:dyDescent="0.3">
      <c r="A114" s="159" t="s">
        <v>298</v>
      </c>
      <c r="B114" s="212"/>
      <c r="C114" s="212"/>
      <c r="D114" s="212"/>
      <c r="E114" s="161"/>
      <c r="F114" s="162"/>
      <c r="G114" s="212"/>
      <c r="H114" s="163">
        <f>IF(D115=0,0,IF(D118=0,SUM(G115:G116)+G118,SUM(G115:G116)))</f>
        <v>0</v>
      </c>
      <c r="I114" s="210"/>
      <c r="J114" s="204"/>
      <c r="K114" s="204"/>
      <c r="L114" s="204"/>
      <c r="M114" s="204"/>
      <c r="N114" s="204"/>
      <c r="O114" s="204"/>
    </row>
    <row r="115" spans="1:15" s="191" customFormat="1" ht="16.5" hidden="1" x14ac:dyDescent="0.25">
      <c r="A115" s="198" t="s">
        <v>6</v>
      </c>
      <c r="B115" s="198">
        <v>6889</v>
      </c>
      <c r="C115" s="198">
        <v>6889</v>
      </c>
      <c r="D115" s="273">
        <f>VLOOKUP(RIGHT(LEFT(A114,11),4),'so nguoi'!$E$8:$N$21,2,0)</f>
        <v>0</v>
      </c>
      <c r="E115" s="61">
        <f>C115-B115</f>
        <v>0</v>
      </c>
      <c r="F115" s="62">
        <f>E115</f>
        <v>0</v>
      </c>
      <c r="G115" s="152">
        <f>F115*$L$1</f>
        <v>0</v>
      </c>
      <c r="H115" s="153"/>
      <c r="I115" s="200"/>
      <c r="J115" s="199"/>
      <c r="K115" s="199"/>
      <c r="L115" s="199"/>
      <c r="M115" s="199"/>
      <c r="N115" s="199"/>
      <c r="O115" s="199"/>
    </row>
    <row r="116" spans="1:15" s="189" customFormat="1" ht="16.5" hidden="1" x14ac:dyDescent="0.25">
      <c r="A116" s="196" t="s">
        <v>7</v>
      </c>
      <c r="B116" s="196">
        <v>4052</v>
      </c>
      <c r="C116" s="196">
        <v>4052</v>
      </c>
      <c r="D116" s="273"/>
      <c r="E116" s="197">
        <f>C116-B116</f>
        <v>0</v>
      </c>
      <c r="F116" s="57">
        <f>IF(D115=0,0,(E116/(D115+D118)*D115))</f>
        <v>0</v>
      </c>
      <c r="G116" s="211">
        <f>F116*$L$2</f>
        <v>0</v>
      </c>
      <c r="H116" s="188"/>
      <c r="I116" s="190"/>
      <c r="J116" s="187"/>
      <c r="K116" s="187"/>
      <c r="L116" s="187"/>
      <c r="M116" s="187"/>
      <c r="N116" s="187"/>
      <c r="O116" s="187"/>
    </row>
    <row r="117" spans="1:15" s="192" customFormat="1" ht="23.25" hidden="1" customHeight="1" x14ac:dyDescent="0.3">
      <c r="A117" s="159" t="s">
        <v>299</v>
      </c>
      <c r="B117" s="212"/>
      <c r="C117" s="212"/>
      <c r="D117" s="212"/>
      <c r="E117" s="161"/>
      <c r="F117" s="162"/>
      <c r="G117" s="212"/>
      <c r="H117" s="163">
        <f>IF(D118=0,0,IF(D115=0,SUM(G118:G119)+G115,SUM(G118:G119)))</f>
        <v>0</v>
      </c>
      <c r="I117" s="210"/>
      <c r="J117" s="204"/>
      <c r="K117" s="204"/>
      <c r="L117" s="204"/>
      <c r="M117" s="204"/>
      <c r="N117" s="204"/>
      <c r="O117" s="204"/>
    </row>
    <row r="118" spans="1:15" s="191" customFormat="1" ht="16.5" hidden="1" x14ac:dyDescent="0.25">
      <c r="A118" s="198" t="s">
        <v>6</v>
      </c>
      <c r="B118" s="198">
        <v>6614</v>
      </c>
      <c r="C118" s="198">
        <v>6614</v>
      </c>
      <c r="D118" s="273">
        <f>VLOOKUP(RIGHT(LEFT(A117,11),4),'so nguoi'!$E$8:$N$21,2,0)</f>
        <v>0</v>
      </c>
      <c r="E118" s="61">
        <f>C118-B118</f>
        <v>0</v>
      </c>
      <c r="F118" s="62">
        <f>E118</f>
        <v>0</v>
      </c>
      <c r="G118" s="152">
        <f>F118*$L$1</f>
        <v>0</v>
      </c>
      <c r="H118" s="153"/>
      <c r="I118" s="200"/>
      <c r="J118" s="199"/>
      <c r="K118" s="199"/>
      <c r="L118" s="199"/>
      <c r="M118" s="199"/>
      <c r="N118" s="199"/>
      <c r="O118" s="199"/>
    </row>
    <row r="119" spans="1:15" s="189" customFormat="1" ht="16.5" hidden="1" x14ac:dyDescent="0.25">
      <c r="A119" s="196" t="s">
        <v>7</v>
      </c>
      <c r="B119" s="196">
        <f>B116</f>
        <v>4052</v>
      </c>
      <c r="C119" s="196">
        <f>C116</f>
        <v>4052</v>
      </c>
      <c r="D119" s="273"/>
      <c r="E119" s="197">
        <f>C119-B119</f>
        <v>0</v>
      </c>
      <c r="F119" s="57">
        <f>IF(D118=0,0,(E119/(D118+D115)*D118))</f>
        <v>0</v>
      </c>
      <c r="G119" s="211">
        <f>F119*$L$2</f>
        <v>0</v>
      </c>
      <c r="H119" s="188"/>
      <c r="I119" s="190">
        <f>SUM(H72:H119)</f>
        <v>6454500</v>
      </c>
      <c r="J119" s="187"/>
      <c r="K119" s="187"/>
      <c r="L119" s="187"/>
      <c r="M119" s="187"/>
      <c r="N119" s="187"/>
      <c r="O119" s="187"/>
    </row>
    <row r="120" spans="1:15" s="192" customFormat="1" ht="23.25" hidden="1" customHeight="1" x14ac:dyDescent="0.3">
      <c r="A120" s="159" t="s">
        <v>300</v>
      </c>
      <c r="B120" s="212"/>
      <c r="C120" s="212"/>
      <c r="D120" s="212"/>
      <c r="E120" s="161"/>
      <c r="F120" s="162"/>
      <c r="G120" s="212"/>
      <c r="H120" s="163">
        <f>SUM(G121:G122)</f>
        <v>0</v>
      </c>
      <c r="I120" s="210"/>
      <c r="J120" s="204"/>
      <c r="K120" s="204"/>
      <c r="L120" s="204"/>
      <c r="M120" s="204"/>
      <c r="N120" s="204"/>
      <c r="O120" s="204"/>
    </row>
    <row r="121" spans="1:15" s="191" customFormat="1" ht="16.5" hidden="1" x14ac:dyDescent="0.25">
      <c r="A121" s="198" t="s">
        <v>6</v>
      </c>
      <c r="B121" s="198">
        <v>129</v>
      </c>
      <c r="C121" s="198">
        <v>129</v>
      </c>
      <c r="D121" s="273">
        <f>VLOOKUP(RIGHT(LEFT(A120,11),4),'so nguoi'!$E$8:$N$21,2,0)</f>
        <v>0</v>
      </c>
      <c r="E121" s="61">
        <f>C121-B121</f>
        <v>0</v>
      </c>
      <c r="F121" s="62">
        <f>E121</f>
        <v>0</v>
      </c>
      <c r="G121" s="152">
        <f>F121*$L$1</f>
        <v>0</v>
      </c>
      <c r="H121" s="153"/>
      <c r="I121" s="200"/>
      <c r="J121" s="199"/>
      <c r="K121" s="199"/>
      <c r="L121" s="199"/>
      <c r="M121" s="199"/>
      <c r="N121" s="199"/>
      <c r="O121" s="199"/>
    </row>
    <row r="122" spans="1:15" s="189" customFormat="1" ht="16.5" hidden="1" x14ac:dyDescent="0.25">
      <c r="A122" s="196" t="s">
        <v>7</v>
      </c>
      <c r="B122" s="196">
        <v>3180</v>
      </c>
      <c r="C122" s="196">
        <v>3180</v>
      </c>
      <c r="D122" s="273"/>
      <c r="E122" s="197">
        <f>C122-B122</f>
        <v>0</v>
      </c>
      <c r="F122" s="57">
        <f>IF(D121=0,0,(E122/(D121+D124)*D121))</f>
        <v>0</v>
      </c>
      <c r="G122" s="211">
        <f>F122*$L$2</f>
        <v>0</v>
      </c>
      <c r="H122" s="188"/>
      <c r="I122" s="190"/>
      <c r="J122" s="187"/>
      <c r="K122" s="187"/>
      <c r="L122" s="187"/>
      <c r="M122" s="187"/>
      <c r="N122" s="187"/>
      <c r="O122" s="187"/>
    </row>
    <row r="123" spans="1:15" s="192" customFormat="1" ht="23.25" hidden="1" customHeight="1" x14ac:dyDescent="0.3">
      <c r="A123" s="159" t="s">
        <v>301</v>
      </c>
      <c r="B123" s="212"/>
      <c r="C123" s="212"/>
      <c r="D123" s="212"/>
      <c r="E123" s="161"/>
      <c r="F123" s="162"/>
      <c r="G123" s="212"/>
      <c r="H123" s="163">
        <f>SUM(G124:G125)</f>
        <v>0</v>
      </c>
      <c r="I123" s="210"/>
      <c r="J123" s="204"/>
      <c r="K123" s="204"/>
      <c r="L123" s="204"/>
      <c r="M123" s="204"/>
      <c r="N123" s="204"/>
      <c r="O123" s="204"/>
    </row>
    <row r="124" spans="1:15" s="191" customFormat="1" ht="16.5" hidden="1" x14ac:dyDescent="0.25">
      <c r="A124" s="198" t="s">
        <v>6</v>
      </c>
      <c r="B124" s="198">
        <v>7411</v>
      </c>
      <c r="C124" s="198">
        <v>7411</v>
      </c>
      <c r="D124" s="273">
        <f>VLOOKUP(RIGHT(LEFT(A123,11),4),'so nguoi'!$E$8:$N$21,2,0)</f>
        <v>0</v>
      </c>
      <c r="E124" s="61">
        <f>C124-B124</f>
        <v>0</v>
      </c>
      <c r="F124" s="62">
        <f>E124</f>
        <v>0</v>
      </c>
      <c r="G124" s="152">
        <f>F124*$L$1</f>
        <v>0</v>
      </c>
      <c r="H124" s="153"/>
      <c r="I124" s="200"/>
      <c r="J124" s="199"/>
      <c r="K124" s="199"/>
      <c r="L124" s="199"/>
      <c r="M124" s="199"/>
      <c r="N124" s="199"/>
      <c r="O124" s="199"/>
    </row>
    <row r="125" spans="1:15" s="189" customFormat="1" ht="16.5" hidden="1" x14ac:dyDescent="0.25">
      <c r="A125" s="196" t="s">
        <v>7</v>
      </c>
      <c r="B125" s="196">
        <f>B122</f>
        <v>3180</v>
      </c>
      <c r="C125" s="196">
        <f>C122</f>
        <v>3180</v>
      </c>
      <c r="D125" s="273"/>
      <c r="E125" s="197">
        <f>C125-B125</f>
        <v>0</v>
      </c>
      <c r="F125" s="57">
        <f>IF(D124=0,0,(E125/(D124+D121)*D124))</f>
        <v>0</v>
      </c>
      <c r="G125" s="211">
        <f>F125*$L$2</f>
        <v>0</v>
      </c>
      <c r="H125" s="188"/>
      <c r="I125" s="190">
        <f>SUM(H78:H125)</f>
        <v>5996200</v>
      </c>
      <c r="J125" s="187"/>
      <c r="K125" s="187"/>
      <c r="L125" s="187"/>
      <c r="M125" s="187"/>
      <c r="N125" s="187"/>
      <c r="O125" s="187"/>
    </row>
    <row r="126" spans="1:15" s="192" customFormat="1" ht="23.25" customHeight="1" x14ac:dyDescent="0.3">
      <c r="A126" s="159" t="s">
        <v>302</v>
      </c>
      <c r="B126" s="212"/>
      <c r="C126" s="212"/>
      <c r="D126" s="212"/>
      <c r="E126" s="161"/>
      <c r="F126" s="162"/>
      <c r="G126" s="212"/>
      <c r="H126" s="163">
        <f>SUM(G127:G128)</f>
        <v>899700</v>
      </c>
      <c r="I126" s="210"/>
      <c r="J126" s="204"/>
      <c r="K126" s="204"/>
      <c r="L126" s="204"/>
      <c r="M126" s="204"/>
      <c r="N126" s="204"/>
      <c r="O126" s="204"/>
    </row>
    <row r="127" spans="1:15" s="191" customFormat="1" ht="16.5" x14ac:dyDescent="0.25">
      <c r="A127" s="198" t="s">
        <v>6</v>
      </c>
      <c r="B127" s="198">
        <v>2950</v>
      </c>
      <c r="C127" s="198">
        <v>3043</v>
      </c>
      <c r="D127" s="273">
        <f>VLOOKUP(RIGHT(LEFT(A126,11),4),'so nguoi'!$E$8:$N$21,2,0)</f>
        <v>5</v>
      </c>
      <c r="E127" s="61">
        <f>C127-B127</f>
        <v>93</v>
      </c>
      <c r="F127" s="62">
        <f>E127</f>
        <v>93</v>
      </c>
      <c r="G127" s="152">
        <f>F127*$L$1</f>
        <v>269700</v>
      </c>
      <c r="H127" s="153"/>
      <c r="I127" s="200"/>
      <c r="J127" s="199"/>
      <c r="K127" s="199"/>
      <c r="L127" s="199"/>
      <c r="M127" s="199"/>
      <c r="N127" s="199"/>
      <c r="O127" s="199"/>
    </row>
    <row r="128" spans="1:15" s="189" customFormat="1" ht="16.5" x14ac:dyDescent="0.25">
      <c r="A128" s="196" t="s">
        <v>7</v>
      </c>
      <c r="B128" s="196">
        <v>1910</v>
      </c>
      <c r="C128" s="196">
        <v>1945</v>
      </c>
      <c r="D128" s="273"/>
      <c r="E128" s="197">
        <f>C128-B128</f>
        <v>35</v>
      </c>
      <c r="F128" s="57">
        <f>IF(D127=0,0,(E128/(D127+D124)*D127))</f>
        <v>35</v>
      </c>
      <c r="G128" s="211">
        <f>F128*$L$2</f>
        <v>630000</v>
      </c>
      <c r="H128" s="188"/>
      <c r="I128" s="190">
        <f>SUM(H81:H128)</f>
        <v>6043572.7272727275</v>
      </c>
      <c r="J128" s="187"/>
      <c r="K128" s="187"/>
      <c r="L128" s="187"/>
      <c r="M128" s="187"/>
      <c r="N128" s="187"/>
      <c r="O128" s="187"/>
    </row>
    <row r="129" spans="1:15" s="192" customFormat="1" ht="23.25" hidden="1" customHeight="1" x14ac:dyDescent="0.3">
      <c r="A129" s="159" t="s">
        <v>309</v>
      </c>
      <c r="B129" s="212"/>
      <c r="C129" s="212" t="s">
        <v>360</v>
      </c>
      <c r="D129" s="212"/>
      <c r="E129" s="161"/>
      <c r="F129" s="162"/>
      <c r="G129" s="212"/>
      <c r="H129" s="163">
        <f>SUM(G130:G130)</f>
        <v>0</v>
      </c>
      <c r="I129" s="210">
        <f>SUM(H6:H129)</f>
        <v>22685700</v>
      </c>
      <c r="J129" s="204"/>
      <c r="K129" s="204"/>
      <c r="L129" s="204"/>
      <c r="M129" s="204"/>
      <c r="N129" s="204"/>
      <c r="O129" s="204"/>
    </row>
    <row r="130" spans="1:15" s="191" customFormat="1" ht="16.5" hidden="1" x14ac:dyDescent="0.25">
      <c r="A130" s="198" t="s">
        <v>6</v>
      </c>
      <c r="B130" s="198">
        <v>4979</v>
      </c>
      <c r="C130" s="198">
        <v>4979</v>
      </c>
      <c r="D130" s="244">
        <v>1</v>
      </c>
      <c r="E130" s="61">
        <f>C130-B130</f>
        <v>0</v>
      </c>
      <c r="F130" s="62">
        <f>E130</f>
        <v>0</v>
      </c>
      <c r="G130" s="152">
        <f>F130*$L$1</f>
        <v>0</v>
      </c>
      <c r="H130" s="246"/>
      <c r="I130" s="200"/>
      <c r="J130" s="199"/>
      <c r="K130" s="199"/>
      <c r="L130" s="199"/>
      <c r="M130" s="199"/>
      <c r="N130" s="199"/>
      <c r="O130" s="199"/>
    </row>
    <row r="131" spans="1:15" s="165" customFormat="1" ht="23.25" hidden="1" customHeight="1" x14ac:dyDescent="0.3">
      <c r="A131" s="159" t="s">
        <v>310</v>
      </c>
      <c r="B131" s="212"/>
      <c r="C131" s="212"/>
      <c r="D131" s="212"/>
      <c r="E131" s="161"/>
      <c r="F131" s="162"/>
      <c r="G131" s="212"/>
      <c r="H131" s="163">
        <f>SUM(G132:G132)</f>
        <v>0</v>
      </c>
      <c r="I131" s="164">
        <f>SUM(H8:H131)</f>
        <v>22685700</v>
      </c>
      <c r="J131" s="155"/>
      <c r="K131" s="155"/>
      <c r="L131" s="155"/>
      <c r="M131" s="155"/>
      <c r="N131" s="155"/>
      <c r="O131" s="155"/>
    </row>
    <row r="132" spans="1:15" s="191" customFormat="1" ht="16.5" hidden="1" x14ac:dyDescent="0.25">
      <c r="A132" s="198" t="s">
        <v>6</v>
      </c>
      <c r="B132" s="198">
        <v>7706</v>
      </c>
      <c r="C132" s="198">
        <v>7706</v>
      </c>
      <c r="D132" s="244">
        <v>1</v>
      </c>
      <c r="E132" s="61">
        <f>C132-B132</f>
        <v>0</v>
      </c>
      <c r="F132" s="62">
        <f>E132</f>
        <v>0</v>
      </c>
      <c r="G132" s="152">
        <f>F132*$L$1</f>
        <v>0</v>
      </c>
      <c r="H132" s="153"/>
      <c r="I132" s="200"/>
      <c r="J132" s="199"/>
      <c r="K132" s="199"/>
      <c r="L132" s="199"/>
      <c r="M132" s="199"/>
      <c r="N132" s="199"/>
      <c r="O132" s="199"/>
    </row>
    <row r="133" spans="1:15" s="2" customFormat="1" ht="23.25" customHeight="1" x14ac:dyDescent="0.3">
      <c r="A133" s="159" t="s">
        <v>291</v>
      </c>
      <c r="B133" s="212"/>
      <c r="C133" s="212"/>
      <c r="D133" s="212"/>
      <c r="E133" s="161"/>
      <c r="F133" s="162"/>
      <c r="G133" s="216"/>
      <c r="H133" s="219">
        <f>SUM(G134:G135)</f>
        <v>130000</v>
      </c>
      <c r="I133" s="142">
        <f>SUM(H9:H133)</f>
        <v>22815700</v>
      </c>
      <c r="J133" s="120"/>
      <c r="K133" s="120"/>
      <c r="L133" s="120"/>
      <c r="M133" s="120"/>
      <c r="N133" s="120"/>
      <c r="O133" s="120"/>
    </row>
    <row r="134" spans="1:15" ht="16.5" x14ac:dyDescent="0.25">
      <c r="A134" s="198" t="s">
        <v>6</v>
      </c>
      <c r="B134" s="198">
        <v>2249</v>
      </c>
      <c r="C134" s="198">
        <f>+B134+40</f>
        <v>2289</v>
      </c>
      <c r="D134" s="273">
        <f>VLOOKUP(RIGHT(LEFT(A133,11),4),'so nguoi'!$E$8:$N$25,2,0)</f>
        <v>1</v>
      </c>
      <c r="E134" s="61">
        <f>C134-B134</f>
        <v>40</v>
      </c>
      <c r="F134" s="62">
        <f>E134/2</f>
        <v>20</v>
      </c>
      <c r="G134" s="152">
        <f>F134*$L$1</f>
        <v>58000</v>
      </c>
      <c r="H134" s="245"/>
      <c r="I134" s="81"/>
      <c r="J134" s="75"/>
      <c r="K134" s="75"/>
      <c r="L134" s="75"/>
      <c r="M134" s="75"/>
      <c r="N134" s="75"/>
      <c r="O134" s="75"/>
    </row>
    <row r="135" spans="1:15" s="59" customFormat="1" ht="16.5" x14ac:dyDescent="0.25">
      <c r="A135" s="196" t="s">
        <v>7</v>
      </c>
      <c r="B135" s="198">
        <v>950</v>
      </c>
      <c r="C135" s="198">
        <f>+B135+8</f>
        <v>958</v>
      </c>
      <c r="D135" s="273"/>
      <c r="E135" s="197">
        <f>C135-B135</f>
        <v>8</v>
      </c>
      <c r="F135" s="57">
        <f>+E135/2</f>
        <v>4</v>
      </c>
      <c r="G135" s="211">
        <f>F135*$L$2</f>
        <v>72000</v>
      </c>
      <c r="H135" s="182"/>
      <c r="I135" s="154">
        <f>SUM(H9:H135)</f>
        <v>22815700</v>
      </c>
      <c r="J135" s="156"/>
      <c r="K135" s="156"/>
      <c r="L135" s="156"/>
      <c r="M135" s="156"/>
      <c r="N135" s="156"/>
      <c r="O135" s="156"/>
    </row>
    <row r="136" spans="1:15" s="192" customFormat="1" ht="23.25" customHeight="1" x14ac:dyDescent="0.3">
      <c r="A136" s="159" t="s">
        <v>311</v>
      </c>
      <c r="B136" s="212"/>
      <c r="C136" s="212"/>
      <c r="D136" s="212"/>
      <c r="E136" s="161"/>
      <c r="F136" s="162"/>
      <c r="G136" s="216"/>
      <c r="H136" s="219">
        <f>SUM(G137:G138)</f>
        <v>94000</v>
      </c>
      <c r="I136" s="210">
        <f>SUM(H9:H136)</f>
        <v>22909700</v>
      </c>
      <c r="J136" s="204"/>
      <c r="K136" s="204"/>
      <c r="L136" s="204"/>
      <c r="M136" s="204"/>
      <c r="N136" s="204"/>
      <c r="O136" s="204"/>
    </row>
    <row r="137" spans="1:15" s="191" customFormat="1" ht="16.5" x14ac:dyDescent="0.25">
      <c r="A137" s="198" t="s">
        <v>6</v>
      </c>
      <c r="B137" s="198">
        <v>2295</v>
      </c>
      <c r="C137" s="198">
        <f>+B137+40</f>
        <v>2335</v>
      </c>
      <c r="D137" s="273">
        <f>VLOOKUP(RIGHT(LEFT(A136,11),4),'so nguoi'!$E$8:$N$25,2,0)</f>
        <v>1</v>
      </c>
      <c r="E137" s="61">
        <f>C137-B137</f>
        <v>40</v>
      </c>
      <c r="F137" s="62">
        <f>+E137/2</f>
        <v>20</v>
      </c>
      <c r="G137" s="152">
        <f>F137*$L$1</f>
        <v>58000</v>
      </c>
      <c r="H137" s="245"/>
      <c r="I137" s="200"/>
      <c r="J137" s="199"/>
      <c r="K137" s="199"/>
      <c r="L137" s="199"/>
      <c r="M137" s="199"/>
      <c r="N137" s="199"/>
      <c r="O137" s="199"/>
    </row>
    <row r="138" spans="1:15" s="59" customFormat="1" ht="16.5" x14ac:dyDescent="0.25">
      <c r="A138" s="196" t="s">
        <v>7</v>
      </c>
      <c r="B138" s="196">
        <v>950</v>
      </c>
      <c r="C138" s="196">
        <f>+B138+8</f>
        <v>958</v>
      </c>
      <c r="D138" s="273"/>
      <c r="E138" s="197">
        <f>C138-B138</f>
        <v>8</v>
      </c>
      <c r="F138" s="57">
        <f>E138/4</f>
        <v>2</v>
      </c>
      <c r="G138" s="211">
        <f>F138*$L$2</f>
        <v>36000</v>
      </c>
      <c r="H138" s="182"/>
      <c r="I138" s="154">
        <f>SUM(H9:H138)</f>
        <v>22909700</v>
      </c>
      <c r="J138" s="156"/>
      <c r="K138" s="156"/>
      <c r="L138" s="156"/>
      <c r="M138" s="156"/>
      <c r="N138" s="156"/>
      <c r="O138" s="156"/>
    </row>
    <row r="139" spans="1:15" s="192" customFormat="1" ht="23.25" hidden="1" customHeight="1" x14ac:dyDescent="0.3">
      <c r="A139" s="159" t="s">
        <v>313</v>
      </c>
      <c r="B139" s="212"/>
      <c r="C139" s="212"/>
      <c r="D139" s="212"/>
      <c r="E139" s="161"/>
      <c r="F139" s="162"/>
      <c r="G139" s="216"/>
      <c r="H139" s="219">
        <f>SUM(G140:G141)</f>
        <v>0</v>
      </c>
      <c r="I139" s="210">
        <f>SUM(H5:H141)</f>
        <v>22909700</v>
      </c>
      <c r="J139" s="204"/>
      <c r="K139" s="204"/>
      <c r="L139" s="204"/>
      <c r="M139" s="204"/>
      <c r="N139" s="204"/>
      <c r="O139" s="204"/>
    </row>
    <row r="140" spans="1:15" s="191" customFormat="1" ht="16.5" hidden="1" x14ac:dyDescent="0.25">
      <c r="A140" s="198" t="s">
        <v>6</v>
      </c>
      <c r="B140" s="198"/>
      <c r="C140" s="198"/>
      <c r="D140" s="273">
        <f>VLOOKUP(RIGHT(LEFT(A139,11),4),'so nguoi'!$E$8:$N$25,2,0)</f>
        <v>1</v>
      </c>
      <c r="E140" s="61">
        <f>C140-B140</f>
        <v>0</v>
      </c>
      <c r="F140" s="62">
        <f>E140/2</f>
        <v>0</v>
      </c>
      <c r="G140" s="217">
        <f>F140*$L$1</f>
        <v>0</v>
      </c>
      <c r="H140" s="245"/>
      <c r="I140" s="200"/>
      <c r="J140" s="199"/>
      <c r="K140" s="199"/>
      <c r="L140" s="199"/>
      <c r="M140" s="199"/>
      <c r="N140" s="199"/>
      <c r="O140" s="199"/>
    </row>
    <row r="141" spans="1:15" s="59" customFormat="1" ht="16.5" hidden="1" x14ac:dyDescent="0.25">
      <c r="A141" s="213" t="s">
        <v>7</v>
      </c>
      <c r="B141" s="213"/>
      <c r="C141" s="213"/>
      <c r="D141" s="273"/>
      <c r="E141" s="168">
        <f>C141-B141</f>
        <v>0</v>
      </c>
      <c r="F141" s="57">
        <f>E141/4</f>
        <v>0</v>
      </c>
      <c r="G141" s="220">
        <f>F141*$L$2</f>
        <v>0</v>
      </c>
      <c r="H141" s="182"/>
      <c r="I141" s="154">
        <f>SUM(H12:H141)</f>
        <v>21782500</v>
      </c>
      <c r="J141" s="156"/>
      <c r="K141" s="156"/>
      <c r="L141" s="156"/>
      <c r="M141" s="156"/>
      <c r="N141" s="156"/>
      <c r="O141" s="156"/>
    </row>
    <row r="142" spans="1:15" ht="24" customHeight="1" x14ac:dyDescent="0.25">
      <c r="A142" s="278" t="s">
        <v>13</v>
      </c>
      <c r="B142" s="279"/>
      <c r="C142" s="279"/>
      <c r="D142" s="279"/>
      <c r="E142" s="279"/>
      <c r="F142" s="280"/>
      <c r="G142" s="73">
        <f ca="1">SUMIF($A$8:$F$141,"Điện",G8:G141)</f>
        <v>10129700</v>
      </c>
      <c r="H142" s="73">
        <f ca="1">SUMIF($A$8:$F$141,"Điện",F8:F141)</f>
        <v>3493</v>
      </c>
      <c r="I142" s="121">
        <f ca="1">H142*2200</f>
        <v>7684600</v>
      </c>
      <c r="J142" s="75"/>
      <c r="K142" s="75"/>
      <c r="L142" s="75"/>
      <c r="M142" s="75"/>
      <c r="N142" s="75"/>
      <c r="O142" s="75"/>
    </row>
    <row r="143" spans="1:15" ht="30" customHeight="1" x14ac:dyDescent="0.25">
      <c r="A143" s="278" t="s">
        <v>14</v>
      </c>
      <c r="B143" s="279"/>
      <c r="C143" s="279"/>
      <c r="D143" s="279"/>
      <c r="E143" s="279"/>
      <c r="F143" s="280"/>
      <c r="G143" s="73">
        <f ca="1">SUMIF($A$8:$F$141,"Nước",G8:G141)</f>
        <v>12780000</v>
      </c>
      <c r="H143" s="73">
        <f ca="1">SUMIF($A$9:$E$141,A65,$F$9:$F$141)</f>
        <v>710</v>
      </c>
      <c r="I143" s="121">
        <f ca="1">H143*15000</f>
        <v>10650000</v>
      </c>
      <c r="J143" s="75"/>
      <c r="K143" s="75"/>
      <c r="L143" s="75"/>
      <c r="M143" s="75"/>
      <c r="N143" s="75"/>
      <c r="O143" s="75"/>
    </row>
    <row r="144" spans="1:15" ht="28.15" customHeight="1" x14ac:dyDescent="0.25">
      <c r="A144" s="278" t="s">
        <v>15</v>
      </c>
      <c r="B144" s="279"/>
      <c r="C144" s="279"/>
      <c r="D144" s="279"/>
      <c r="E144" s="279"/>
      <c r="F144" s="280"/>
      <c r="G144" s="73">
        <f ca="1">SUM(G142:G143)</f>
        <v>22909700</v>
      </c>
      <c r="H144" s="74"/>
      <c r="I144" s="121">
        <f ca="1">I142+I143</f>
        <v>18334600</v>
      </c>
      <c r="J144" s="121">
        <f ca="1">I144-G144</f>
        <v>-4575100</v>
      </c>
      <c r="K144" s="75"/>
      <c r="L144" s="75"/>
      <c r="M144" s="75"/>
      <c r="N144" s="75"/>
      <c r="O144" s="75"/>
    </row>
    <row r="145" spans="1:15" x14ac:dyDescent="0.25">
      <c r="A145" s="75"/>
      <c r="B145" s="75"/>
      <c r="C145" s="75"/>
      <c r="D145" s="77"/>
      <c r="E145" s="78"/>
      <c r="F145" s="281" t="str">
        <f ca="1">" TP. Hồ Chí Minh, ngày "&amp;DAY(NOW())&amp;" tháng "&amp;MONTH(NOW())&amp;" năm "&amp;YEAR(NOW())</f>
        <v xml:space="preserve"> TP. Hồ Chí Minh, ngày 10 tháng 6 năm 2020</v>
      </c>
      <c r="G145" s="281"/>
      <c r="H145" s="281"/>
      <c r="I145" s="81"/>
      <c r="J145" s="121"/>
      <c r="K145" s="121"/>
      <c r="L145" s="75"/>
      <c r="M145" s="75"/>
      <c r="N145" s="75"/>
      <c r="O145" s="75"/>
    </row>
    <row r="146" spans="1:15" x14ac:dyDescent="0.25">
      <c r="A146" s="282" t="s">
        <v>17</v>
      </c>
      <c r="B146" s="282"/>
      <c r="C146" s="282"/>
      <c r="D146" s="77"/>
      <c r="E146" s="78"/>
      <c r="F146" s="283" t="s">
        <v>16</v>
      </c>
      <c r="G146" s="283"/>
      <c r="H146" s="283"/>
      <c r="I146" s="81">
        <f ca="1">G144/2</f>
        <v>11454850</v>
      </c>
      <c r="J146" s="121"/>
      <c r="K146" s="75"/>
      <c r="L146" s="75"/>
      <c r="M146" s="75"/>
      <c r="N146" s="75"/>
      <c r="O146" s="75"/>
    </row>
    <row r="147" spans="1:15" x14ac:dyDescent="0.25">
      <c r="A147" s="75"/>
      <c r="B147" s="75"/>
      <c r="C147" s="75"/>
      <c r="D147" s="77"/>
      <c r="E147" s="253"/>
      <c r="F147" s="253"/>
      <c r="G147" s="221"/>
      <c r="H147" s="81"/>
    </row>
    <row r="148" spans="1:15" x14ac:dyDescent="0.25">
      <c r="A148" s="75"/>
      <c r="B148" s="75"/>
      <c r="C148" s="75"/>
      <c r="D148" s="77"/>
      <c r="E148" s="253"/>
      <c r="F148" s="253"/>
      <c r="G148" s="221"/>
      <c r="H148" s="75"/>
    </row>
    <row r="149" spans="1:15" x14ac:dyDescent="0.25">
      <c r="A149" s="75"/>
      <c r="B149" s="75"/>
      <c r="C149" s="75"/>
      <c r="D149" s="77"/>
      <c r="E149" s="253"/>
      <c r="F149" s="221"/>
      <c r="G149" s="82"/>
      <c r="H149" s="75"/>
    </row>
    <row r="150" spans="1:15" x14ac:dyDescent="0.25">
      <c r="A150" s="274" t="s">
        <v>318</v>
      </c>
      <c r="B150" s="274"/>
      <c r="C150" s="274"/>
      <c r="D150" s="77"/>
      <c r="E150" s="78"/>
      <c r="F150" s="275" t="s">
        <v>207</v>
      </c>
      <c r="G150" s="275"/>
      <c r="H150" s="275"/>
    </row>
    <row r="151" spans="1:15" ht="24.4" customHeight="1" x14ac:dyDescent="0.25">
      <c r="A151" s="1"/>
      <c r="I151"/>
    </row>
    <row r="152" spans="1:15" ht="28.15" customHeight="1" x14ac:dyDescent="0.25">
      <c r="A152" s="276"/>
      <c r="B152" s="276"/>
      <c r="D152"/>
      <c r="E152"/>
      <c r="F152" s="59"/>
      <c r="G152"/>
      <c r="I152"/>
    </row>
    <row r="153" spans="1:15" ht="24.4" customHeight="1" x14ac:dyDescent="0.25">
      <c r="D153"/>
      <c r="E153"/>
      <c r="F153" s="59"/>
      <c r="G153"/>
      <c r="I153"/>
    </row>
    <row r="154" spans="1:15" ht="30" customHeight="1" x14ac:dyDescent="0.25">
      <c r="I154"/>
    </row>
    <row r="155" spans="1:15" ht="28.15" customHeight="1" x14ac:dyDescent="0.25">
      <c r="I155"/>
    </row>
    <row r="156" spans="1:15" ht="24.4" customHeight="1" x14ac:dyDescent="0.25">
      <c r="I156"/>
    </row>
    <row r="157" spans="1:15" ht="27.75" customHeight="1" x14ac:dyDescent="0.25">
      <c r="I157"/>
    </row>
    <row r="158" spans="1:15" ht="28.15" customHeight="1" x14ac:dyDescent="0.25">
      <c r="I158"/>
    </row>
    <row r="159" spans="1:15" s="2" customFormat="1" ht="24.4" customHeight="1" x14ac:dyDescent="0.25">
      <c r="A159"/>
      <c r="B159"/>
      <c r="C159"/>
      <c r="D159" s="4"/>
      <c r="E159" s="3"/>
      <c r="F159" s="223"/>
      <c r="G159" s="3"/>
      <c r="H159"/>
    </row>
    <row r="160" spans="1:15" ht="30" customHeight="1" x14ac:dyDescent="0.25">
      <c r="I160"/>
    </row>
    <row r="161" spans="1:9" ht="28.15" customHeight="1" x14ac:dyDescent="0.25">
      <c r="I161"/>
    </row>
    <row r="162" spans="1:9" s="2" customFormat="1" ht="24.4" customHeight="1" x14ac:dyDescent="0.25">
      <c r="A162"/>
      <c r="B162"/>
      <c r="C162"/>
      <c r="D162" s="4"/>
      <c r="E162" s="3"/>
      <c r="F162" s="223"/>
      <c r="G162" s="3"/>
      <c r="H162"/>
    </row>
    <row r="163" spans="1:9" ht="30.2" customHeight="1" x14ac:dyDescent="0.25">
      <c r="I163"/>
    </row>
    <row r="164" spans="1:9" ht="28.15" customHeight="1" x14ac:dyDescent="0.25">
      <c r="I164"/>
    </row>
    <row r="165" spans="1:9" s="2" customFormat="1" ht="24.4" customHeight="1" x14ac:dyDescent="0.25">
      <c r="A165"/>
      <c r="B165"/>
      <c r="C165"/>
      <c r="D165" s="4"/>
      <c r="E165" s="3"/>
      <c r="F165" s="223"/>
      <c r="G165" s="3"/>
      <c r="H165"/>
    </row>
    <row r="166" spans="1:9" ht="30" customHeight="1" x14ac:dyDescent="0.25">
      <c r="I166"/>
    </row>
    <row r="167" spans="1:9" ht="28.15" customHeight="1" x14ac:dyDescent="0.25">
      <c r="I167"/>
    </row>
    <row r="168" spans="1:9" s="2" customFormat="1" ht="24.4" customHeight="1" x14ac:dyDescent="0.25">
      <c r="A168"/>
      <c r="B168"/>
      <c r="C168"/>
      <c r="D168" s="4"/>
      <c r="E168" s="3"/>
      <c r="F168" s="223"/>
      <c r="G168" s="3"/>
      <c r="H168"/>
    </row>
    <row r="169" spans="1:9" ht="30" customHeight="1" x14ac:dyDescent="0.25">
      <c r="I169"/>
    </row>
    <row r="170" spans="1:9" ht="28.15" customHeight="1" x14ac:dyDescent="0.25">
      <c r="I170"/>
    </row>
    <row r="171" spans="1:9" s="2" customFormat="1" ht="24.4" customHeight="1" x14ac:dyDescent="0.25">
      <c r="A171"/>
      <c r="B171"/>
      <c r="C171"/>
      <c r="D171" s="4"/>
      <c r="E171" s="3"/>
      <c r="F171" s="223"/>
      <c r="G171" s="3"/>
      <c r="H171"/>
    </row>
    <row r="172" spans="1:9" ht="30" customHeight="1" x14ac:dyDescent="0.25">
      <c r="I172"/>
    </row>
    <row r="173" spans="1:9" ht="28.15" customHeight="1" x14ac:dyDescent="0.25">
      <c r="I173"/>
    </row>
    <row r="174" spans="1:9" s="2" customFormat="1" ht="24.4" customHeight="1" x14ac:dyDescent="0.25">
      <c r="A174"/>
      <c r="B174"/>
      <c r="C174"/>
      <c r="D174" s="4"/>
      <c r="E174" s="3"/>
      <c r="F174" s="223"/>
      <c r="G174" s="3"/>
      <c r="H174"/>
    </row>
    <row r="175" spans="1:9" ht="30" customHeight="1" x14ac:dyDescent="0.25">
      <c r="I175"/>
    </row>
    <row r="176" spans="1:9" ht="28.15" customHeight="1" x14ac:dyDescent="0.25">
      <c r="I176"/>
    </row>
    <row r="177" spans="1:9" s="2" customFormat="1" ht="24.4" customHeight="1" x14ac:dyDescent="0.25">
      <c r="A177"/>
      <c r="B177"/>
      <c r="C177"/>
      <c r="D177" s="4"/>
      <c r="E177" s="3"/>
      <c r="F177" s="223"/>
      <c r="G177" s="3"/>
      <c r="H177"/>
    </row>
    <row r="178" spans="1:9" ht="30" customHeight="1" x14ac:dyDescent="0.25">
      <c r="I178"/>
    </row>
    <row r="179" spans="1:9" ht="28.15" customHeight="1" x14ac:dyDescent="0.25">
      <c r="I179"/>
    </row>
    <row r="180" spans="1:9" s="2" customFormat="1" ht="24.4" customHeight="1" x14ac:dyDescent="0.25">
      <c r="A180"/>
      <c r="B180"/>
      <c r="C180"/>
      <c r="D180" s="4"/>
      <c r="E180" s="3"/>
      <c r="F180" s="223"/>
      <c r="G180" s="3"/>
      <c r="H180"/>
    </row>
    <row r="181" spans="1:9" ht="27.75" customHeight="1" x14ac:dyDescent="0.25">
      <c r="I181"/>
    </row>
    <row r="182" spans="1:9" ht="28.15" customHeight="1" x14ac:dyDescent="0.25">
      <c r="I182"/>
    </row>
    <row r="183" spans="1:9" s="2" customFormat="1" ht="24.4" customHeight="1" x14ac:dyDescent="0.25">
      <c r="A183"/>
      <c r="B183"/>
      <c r="C183"/>
      <c r="D183" s="4"/>
      <c r="E183" s="3"/>
      <c r="F183" s="223"/>
      <c r="G183" s="3"/>
      <c r="H183"/>
    </row>
    <row r="184" spans="1:9" ht="30" customHeight="1" x14ac:dyDescent="0.25">
      <c r="I184"/>
    </row>
    <row r="185" spans="1:9" ht="28.15" customHeight="1" x14ac:dyDescent="0.25">
      <c r="I185"/>
    </row>
    <row r="186" spans="1:9" s="2" customFormat="1" ht="24.4" customHeight="1" x14ac:dyDescent="0.25">
      <c r="A186"/>
      <c r="B186"/>
      <c r="C186"/>
      <c r="D186" s="4"/>
      <c r="E186" s="3"/>
      <c r="F186" s="223"/>
      <c r="G186" s="3"/>
      <c r="H186"/>
    </row>
    <row r="187" spans="1:9" ht="30.2" customHeight="1" x14ac:dyDescent="0.25">
      <c r="I187"/>
    </row>
    <row r="188" spans="1:9" ht="28.15" customHeight="1" x14ac:dyDescent="0.25">
      <c r="I188"/>
    </row>
    <row r="189" spans="1:9" s="2" customFormat="1" ht="24.4" customHeight="1" x14ac:dyDescent="0.25">
      <c r="A189"/>
      <c r="B189"/>
      <c r="C189"/>
      <c r="D189" s="4"/>
      <c r="E189" s="3"/>
      <c r="F189" s="223"/>
      <c r="G189" s="3"/>
      <c r="H189"/>
    </row>
    <row r="190" spans="1:9" ht="30" customHeight="1" x14ac:dyDescent="0.25">
      <c r="I190"/>
    </row>
    <row r="191" spans="1:9" ht="28.15" customHeight="1" x14ac:dyDescent="0.25">
      <c r="I191"/>
    </row>
    <row r="192" spans="1:9" s="2" customFormat="1" ht="24.4" customHeight="1" x14ac:dyDescent="0.25">
      <c r="A192"/>
      <c r="B192"/>
      <c r="C192"/>
      <c r="D192" s="4"/>
      <c r="E192" s="3"/>
      <c r="F192" s="223"/>
      <c r="G192" s="3"/>
      <c r="H192"/>
    </row>
    <row r="193" spans="1:9" ht="30" customHeight="1" x14ac:dyDescent="0.25">
      <c r="I193"/>
    </row>
    <row r="194" spans="1:9" ht="28.15" customHeight="1" x14ac:dyDescent="0.25">
      <c r="I194"/>
    </row>
    <row r="195" spans="1:9" s="2" customFormat="1" ht="24.4" customHeight="1" x14ac:dyDescent="0.25">
      <c r="A195"/>
      <c r="B195"/>
      <c r="C195"/>
      <c r="D195" s="4"/>
      <c r="E195" s="3"/>
      <c r="F195" s="223"/>
      <c r="G195" s="3"/>
      <c r="H195"/>
    </row>
    <row r="196" spans="1:9" ht="30" customHeight="1" x14ac:dyDescent="0.25">
      <c r="I196"/>
    </row>
    <row r="197" spans="1:9" ht="28.15" customHeight="1" x14ac:dyDescent="0.25">
      <c r="I197"/>
    </row>
    <row r="198" spans="1:9" s="2" customFormat="1" ht="24.4" customHeight="1" x14ac:dyDescent="0.25">
      <c r="A198"/>
      <c r="B198"/>
      <c r="C198"/>
      <c r="D198" s="4"/>
      <c r="E198" s="3"/>
      <c r="F198" s="223"/>
      <c r="G198" s="3"/>
      <c r="H198"/>
    </row>
    <row r="199" spans="1:9" ht="30" customHeight="1" x14ac:dyDescent="0.25">
      <c r="I199"/>
    </row>
    <row r="200" spans="1:9" ht="28.15" customHeight="1" x14ac:dyDescent="0.25">
      <c r="I200"/>
    </row>
    <row r="201" spans="1:9" s="2" customFormat="1" ht="24.4" customHeight="1" x14ac:dyDescent="0.25">
      <c r="A201"/>
      <c r="B201"/>
      <c r="C201"/>
      <c r="D201" s="4"/>
      <c r="E201" s="3"/>
      <c r="F201" s="223"/>
      <c r="G201" s="3"/>
      <c r="H201"/>
    </row>
    <row r="202" spans="1:9" ht="30" customHeight="1" x14ac:dyDescent="0.25">
      <c r="I202"/>
    </row>
    <row r="203" spans="1:9" ht="28.15" customHeight="1" x14ac:dyDescent="0.25">
      <c r="I203"/>
    </row>
    <row r="204" spans="1:9" s="2" customFormat="1" ht="24.4" customHeight="1" x14ac:dyDescent="0.25">
      <c r="A204"/>
      <c r="B204"/>
      <c r="C204"/>
      <c r="D204" s="4"/>
      <c r="E204" s="3"/>
      <c r="F204" s="223"/>
      <c r="G204" s="3"/>
      <c r="H204"/>
    </row>
    <row r="205" spans="1:9" ht="27.75" customHeight="1" x14ac:dyDescent="0.25">
      <c r="I205"/>
    </row>
    <row r="206" spans="1:9" ht="28.15" customHeight="1" x14ac:dyDescent="0.25">
      <c r="I206"/>
    </row>
    <row r="207" spans="1:9" s="2" customFormat="1" ht="24.4" customHeight="1" x14ac:dyDescent="0.25">
      <c r="A207"/>
      <c r="B207"/>
      <c r="C207"/>
      <c r="D207" s="4"/>
      <c r="E207" s="3"/>
      <c r="F207" s="223"/>
      <c r="G207" s="3"/>
      <c r="H207"/>
    </row>
    <row r="208" spans="1:9" ht="30" customHeight="1" x14ac:dyDescent="0.25">
      <c r="I208"/>
    </row>
    <row r="209" spans="1:9" ht="28.15" customHeight="1" x14ac:dyDescent="0.25">
      <c r="I209"/>
    </row>
    <row r="210" spans="1:9" s="2" customFormat="1" ht="24.4" customHeight="1" x14ac:dyDescent="0.25">
      <c r="A210"/>
      <c r="B210"/>
      <c r="C210"/>
      <c r="D210" s="4"/>
      <c r="E210" s="3"/>
      <c r="F210" s="223"/>
      <c r="G210" s="3"/>
      <c r="H210"/>
    </row>
    <row r="211" spans="1:9" ht="30.2" customHeight="1" x14ac:dyDescent="0.25">
      <c r="I211"/>
    </row>
    <row r="212" spans="1:9" ht="28.15" customHeight="1" x14ac:dyDescent="0.25">
      <c r="I212"/>
    </row>
    <row r="213" spans="1:9" s="2" customFormat="1" ht="24.4" customHeight="1" x14ac:dyDescent="0.25">
      <c r="A213"/>
      <c r="B213"/>
      <c r="C213"/>
      <c r="D213" s="4"/>
      <c r="E213" s="3"/>
      <c r="F213" s="223"/>
      <c r="G213" s="3"/>
      <c r="H213"/>
    </row>
    <row r="214" spans="1:9" ht="30" customHeight="1" x14ac:dyDescent="0.25">
      <c r="I214"/>
    </row>
    <row r="215" spans="1:9" ht="28.15" customHeight="1" x14ac:dyDescent="0.25">
      <c r="I215"/>
    </row>
    <row r="216" spans="1:9" s="2" customFormat="1" ht="24.4" customHeight="1" x14ac:dyDescent="0.25">
      <c r="A216"/>
      <c r="B216"/>
      <c r="C216"/>
      <c r="D216" s="4"/>
      <c r="E216" s="3"/>
      <c r="F216" s="223"/>
      <c r="G216" s="3"/>
      <c r="H216"/>
    </row>
    <row r="217" spans="1:9" ht="30" customHeight="1" x14ac:dyDescent="0.25">
      <c r="I217"/>
    </row>
    <row r="218" spans="1:9" ht="28.15" customHeight="1" x14ac:dyDescent="0.25">
      <c r="I218"/>
    </row>
    <row r="219" spans="1:9" s="2" customFormat="1" ht="24.4" customHeight="1" x14ac:dyDescent="0.25">
      <c r="A219"/>
      <c r="B219"/>
      <c r="C219"/>
      <c r="D219" s="4"/>
      <c r="E219" s="3"/>
      <c r="F219" s="223"/>
      <c r="G219" s="3"/>
      <c r="H219"/>
    </row>
    <row r="220" spans="1:9" ht="30" customHeight="1" x14ac:dyDescent="0.25">
      <c r="I220"/>
    </row>
    <row r="221" spans="1:9" ht="28.15" customHeight="1" x14ac:dyDescent="0.25">
      <c r="I221"/>
    </row>
    <row r="222" spans="1:9" s="2" customFormat="1" ht="24.4" customHeight="1" x14ac:dyDescent="0.25">
      <c r="A222"/>
      <c r="B222"/>
      <c r="C222"/>
      <c r="D222" s="4"/>
      <c r="E222" s="3"/>
      <c r="F222" s="223"/>
      <c r="G222" s="3"/>
      <c r="H222"/>
    </row>
    <row r="223" spans="1:9" ht="30" customHeight="1" x14ac:dyDescent="0.25">
      <c r="I223"/>
    </row>
    <row r="224" spans="1:9" ht="28.15" customHeight="1" x14ac:dyDescent="0.25">
      <c r="I224"/>
    </row>
    <row r="225" spans="1:9" ht="24.4" customHeight="1" x14ac:dyDescent="0.25">
      <c r="I225"/>
    </row>
    <row r="226" spans="1:9" ht="30" customHeight="1" x14ac:dyDescent="0.25">
      <c r="I226"/>
    </row>
    <row r="227" spans="1:9" ht="28.15" customHeight="1" x14ac:dyDescent="0.25">
      <c r="I227"/>
    </row>
    <row r="228" spans="1:9" s="2" customFormat="1" ht="24.4" customHeight="1" x14ac:dyDescent="0.25">
      <c r="A228"/>
      <c r="B228"/>
      <c r="C228"/>
      <c r="D228" s="4"/>
      <c r="E228" s="3"/>
      <c r="F228" s="223"/>
      <c r="G228" s="3"/>
      <c r="H228"/>
    </row>
    <row r="229" spans="1:9" ht="27.75" customHeight="1" x14ac:dyDescent="0.25">
      <c r="I229"/>
    </row>
    <row r="230" spans="1:9" ht="28.15" customHeight="1" x14ac:dyDescent="0.25">
      <c r="I230"/>
    </row>
    <row r="231" spans="1:9" s="2" customFormat="1" ht="24.4" customHeight="1" x14ac:dyDescent="0.25">
      <c r="A231"/>
      <c r="B231"/>
      <c r="C231"/>
      <c r="D231" s="4"/>
      <c r="E231" s="3"/>
      <c r="F231" s="223"/>
      <c r="G231" s="3"/>
      <c r="H231"/>
    </row>
    <row r="232" spans="1:9" ht="30" customHeight="1" x14ac:dyDescent="0.25">
      <c r="I232"/>
    </row>
    <row r="233" spans="1:9" ht="28.15" customHeight="1" x14ac:dyDescent="0.25">
      <c r="I233"/>
    </row>
    <row r="234" spans="1:9" s="2" customFormat="1" ht="24.4" customHeight="1" x14ac:dyDescent="0.25">
      <c r="A234"/>
      <c r="B234"/>
      <c r="C234"/>
      <c r="D234" s="4"/>
      <c r="E234" s="3"/>
      <c r="F234" s="223"/>
      <c r="G234" s="3"/>
      <c r="H234"/>
    </row>
    <row r="235" spans="1:9" ht="30" customHeight="1" x14ac:dyDescent="0.25">
      <c r="I235"/>
    </row>
    <row r="236" spans="1:9" ht="28.15" customHeight="1" x14ac:dyDescent="0.25">
      <c r="I236"/>
    </row>
    <row r="237" spans="1:9" s="2" customFormat="1" ht="24.4" customHeight="1" x14ac:dyDescent="0.25">
      <c r="A237"/>
      <c r="B237"/>
      <c r="C237"/>
      <c r="D237" s="4"/>
      <c r="E237" s="3"/>
      <c r="F237" s="223"/>
      <c r="G237" s="3"/>
      <c r="H237"/>
    </row>
    <row r="238" spans="1:9" ht="30.6" customHeight="1" x14ac:dyDescent="0.25">
      <c r="I238"/>
    </row>
    <row r="239" spans="1:9" s="2" customFormat="1" ht="24.4" customHeight="1" x14ac:dyDescent="0.25">
      <c r="A239"/>
      <c r="B239"/>
      <c r="C239"/>
      <c r="D239" s="4"/>
      <c r="E239" s="3"/>
      <c r="F239" s="223"/>
      <c r="G239" s="3"/>
      <c r="H239"/>
    </row>
    <row r="240" spans="1:9" ht="30.4" customHeight="1" x14ac:dyDescent="0.25">
      <c r="I240"/>
    </row>
    <row r="241" spans="1:11" s="2" customFormat="1" ht="24.4" customHeight="1" x14ac:dyDescent="0.25">
      <c r="A241"/>
      <c r="B241"/>
      <c r="C241"/>
      <c r="D241" s="4"/>
      <c r="E241" s="3"/>
      <c r="F241" s="223"/>
      <c r="G241" s="3"/>
      <c r="H241"/>
    </row>
    <row r="242" spans="1:11" ht="30.4" customHeight="1" x14ac:dyDescent="0.25">
      <c r="I242"/>
    </row>
    <row r="243" spans="1:11" s="2" customFormat="1" ht="24.4" customHeight="1" x14ac:dyDescent="0.25">
      <c r="A243"/>
      <c r="B243"/>
      <c r="C243"/>
      <c r="D243" s="4"/>
      <c r="E243" s="3"/>
      <c r="F243" s="223"/>
      <c r="G243" s="3"/>
      <c r="H243"/>
    </row>
    <row r="244" spans="1:11" ht="30.4" customHeight="1" x14ac:dyDescent="0.25">
      <c r="I244"/>
    </row>
    <row r="245" spans="1:11" s="2" customFormat="1" ht="24.4" customHeight="1" x14ac:dyDescent="0.25">
      <c r="A245"/>
      <c r="B245"/>
      <c r="C245"/>
      <c r="D245" s="4"/>
      <c r="E245" s="3"/>
      <c r="F245" s="223"/>
      <c r="G245" s="3"/>
      <c r="H245"/>
    </row>
    <row r="246" spans="1:11" ht="30.4" customHeight="1" x14ac:dyDescent="0.25">
      <c r="I246"/>
    </row>
    <row r="249" spans="1:11" x14ac:dyDescent="0.25">
      <c r="J249" s="25"/>
    </row>
    <row r="251" spans="1:11" x14ac:dyDescent="0.25">
      <c r="J251" s="25"/>
      <c r="K251" s="25"/>
    </row>
    <row r="252" spans="1:11" x14ac:dyDescent="0.25">
      <c r="J252" s="25"/>
    </row>
  </sheetData>
  <autoFilter ref="A8:O146"/>
  <mergeCells count="56">
    <mergeCell ref="D16:D17"/>
    <mergeCell ref="A1:H1"/>
    <mergeCell ref="A2:H2"/>
    <mergeCell ref="A4:H4"/>
    <mergeCell ref="D10:D11"/>
    <mergeCell ref="D13:D14"/>
    <mergeCell ref="D43:D44"/>
    <mergeCell ref="D46:D47"/>
    <mergeCell ref="D49:D50"/>
    <mergeCell ref="D52:D53"/>
    <mergeCell ref="D19:D20"/>
    <mergeCell ref="D22:D23"/>
    <mergeCell ref="D25:D26"/>
    <mergeCell ref="D28:D29"/>
    <mergeCell ref="D31:D32"/>
    <mergeCell ref="D34:D35"/>
    <mergeCell ref="A150:C150"/>
    <mergeCell ref="F150:H150"/>
    <mergeCell ref="A152:B152"/>
    <mergeCell ref="A5:H5"/>
    <mergeCell ref="A142:F142"/>
    <mergeCell ref="A143:F143"/>
    <mergeCell ref="A144:F144"/>
    <mergeCell ref="F145:H145"/>
    <mergeCell ref="A146:C146"/>
    <mergeCell ref="F146:H146"/>
    <mergeCell ref="D55:D56"/>
    <mergeCell ref="D58:D59"/>
    <mergeCell ref="D61:D62"/>
    <mergeCell ref="D64:D65"/>
    <mergeCell ref="D37:D38"/>
    <mergeCell ref="D40:D41"/>
    <mergeCell ref="D67:D68"/>
    <mergeCell ref="D70:D71"/>
    <mergeCell ref="D73:D74"/>
    <mergeCell ref="D76:D77"/>
    <mergeCell ref="D79:D80"/>
    <mergeCell ref="D82:D83"/>
    <mergeCell ref="D88:D89"/>
    <mergeCell ref="D91:D92"/>
    <mergeCell ref="D94:D95"/>
    <mergeCell ref="D97:D98"/>
    <mergeCell ref="D85:D86"/>
    <mergeCell ref="D140:D141"/>
    <mergeCell ref="D134:D135"/>
    <mergeCell ref="D100:D101"/>
    <mergeCell ref="D103:D104"/>
    <mergeCell ref="D106:D107"/>
    <mergeCell ref="D109:D110"/>
    <mergeCell ref="D112:D113"/>
    <mergeCell ref="D115:D116"/>
    <mergeCell ref="D118:D119"/>
    <mergeCell ref="D121:D122"/>
    <mergeCell ref="D124:D125"/>
    <mergeCell ref="D127:D128"/>
    <mergeCell ref="D137:D138"/>
  </mergeCells>
  <pageMargins left="0.47" right="0.25" top="0.42" bottom="0.41" header="0.18" footer="0.19"/>
  <pageSetup fitToHeight="0" orientation="portrait" r:id="rId1"/>
  <headerFooter alignWithMargins="0">
    <oddFooter>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view="pageBreakPreview" zoomScale="115" zoomScaleNormal="100" zoomScaleSheetLayoutView="115" zoomScalePageLayoutView="115" workbookViewId="0">
      <selection activeCell="D10" sqref="D10:D11"/>
    </sheetView>
  </sheetViews>
  <sheetFormatPr defaultRowHeight="15" x14ac:dyDescent="0.25"/>
  <cols>
    <col min="1" max="1" width="11" customWidth="1"/>
    <col min="2" max="2" width="10.140625" customWidth="1"/>
    <col min="3" max="3" width="9.85546875" customWidth="1"/>
    <col min="4" max="4" width="7.42578125" style="4" customWidth="1"/>
    <col min="5" max="5" width="11.140625" style="3" customWidth="1"/>
    <col min="6" max="6" width="12" style="21" customWidth="1"/>
    <col min="7" max="7" width="24.5703125" style="3" customWidth="1"/>
    <col min="8" max="8" width="13.140625" customWidth="1"/>
    <col min="9" max="9" width="13.7109375" style="50" bestFit="1" customWidth="1"/>
    <col min="10" max="10" width="11.140625" bestFit="1" customWidth="1"/>
    <col min="11" max="11" width="9.28515625" bestFit="1" customWidth="1"/>
  </cols>
  <sheetData>
    <row r="1" spans="1:15" ht="15.75" x14ac:dyDescent="0.25">
      <c r="A1" s="284" t="s">
        <v>189</v>
      </c>
      <c r="B1" s="284"/>
      <c r="C1" s="284"/>
      <c r="D1" s="284"/>
      <c r="E1" s="284"/>
      <c r="F1" s="284"/>
      <c r="G1" s="284"/>
      <c r="H1" s="284"/>
      <c r="K1" t="s">
        <v>9</v>
      </c>
      <c r="L1">
        <v>2200</v>
      </c>
    </row>
    <row r="2" spans="1:15" ht="15.75" x14ac:dyDescent="0.25">
      <c r="A2" s="285" t="s">
        <v>190</v>
      </c>
      <c r="B2" s="285"/>
      <c r="C2" s="285"/>
      <c r="D2" s="285"/>
      <c r="E2" s="285"/>
      <c r="F2" s="285"/>
      <c r="G2" s="285"/>
      <c r="H2" s="285"/>
      <c r="K2" t="s">
        <v>10</v>
      </c>
      <c r="L2">
        <v>15000</v>
      </c>
    </row>
    <row r="4" spans="1:15" ht="22.5" customHeight="1" x14ac:dyDescent="0.25">
      <c r="A4" s="286" t="str">
        <f>"BẢNG TỔNG HỢP ĐIỆN - NƯỚC SINH HOẠT KÝ TÚC XÁ KHU C " &amp; 'Khu K107-K211'!L1</f>
        <v>BẢNG TỔNG HỢP ĐIỆN - NƯỚC SINH HOẠT KÝ TÚC XÁ KHU C THÁNG 1-5/2019</v>
      </c>
      <c r="B4" s="286"/>
      <c r="C4" s="286"/>
      <c r="D4" s="286"/>
      <c r="E4" s="286"/>
      <c r="F4" s="286"/>
      <c r="G4" s="286"/>
      <c r="H4" s="286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20.25" customHeight="1" x14ac:dyDescent="0.25">
      <c r="A5" s="277" t="s">
        <v>219</v>
      </c>
      <c r="B5" s="277"/>
      <c r="C5" s="277"/>
      <c r="D5" s="277"/>
      <c r="E5" s="277"/>
      <c r="F5" s="277"/>
      <c r="G5" s="277"/>
      <c r="H5" s="277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22</v>
      </c>
      <c r="O5" s="75">
        <f>M5/N5</f>
        <v>1.1818181818181819</v>
      </c>
    </row>
    <row r="6" spans="1:15" x14ac:dyDescent="0.25">
      <c r="A6" s="75"/>
      <c r="B6" s="75"/>
      <c r="C6" s="75"/>
      <c r="D6" s="77"/>
      <c r="E6" s="78"/>
      <c r="F6" s="79"/>
      <c r="G6" s="114" t="s">
        <v>35</v>
      </c>
      <c r="H6" s="114"/>
      <c r="I6" s="114"/>
      <c r="J6" s="75" t="s">
        <v>64</v>
      </c>
      <c r="K6" s="75">
        <v>60</v>
      </c>
      <c r="L6" s="75">
        <v>76</v>
      </c>
      <c r="M6" s="75">
        <f t="shared" ref="M6:M8" si="0">L6-K6</f>
        <v>16</v>
      </c>
      <c r="N6" s="113">
        <f>SUM('so nguoi'!H14:H18)</f>
        <v>0</v>
      </c>
      <c r="O6" s="75" t="e">
        <f t="shared" ref="O6:O8" si="1">M6/N6</f>
        <v>#DIV/0!</v>
      </c>
    </row>
    <row r="7" spans="1:15" x14ac:dyDescent="0.25">
      <c r="A7" s="75"/>
      <c r="B7" s="75"/>
      <c r="C7" s="75"/>
      <c r="D7" s="77"/>
      <c r="E7" s="78"/>
      <c r="F7" s="79"/>
      <c r="G7" s="114" t="s">
        <v>185</v>
      </c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0</v>
      </c>
      <c r="O7" s="75" t="e">
        <f t="shared" si="1"/>
        <v>#DIV/0!</v>
      </c>
    </row>
    <row r="8" spans="1:15" ht="34.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160</v>
      </c>
      <c r="F8" s="49" t="s">
        <v>27</v>
      </c>
      <c r="G8" s="47" t="s">
        <v>28</v>
      </c>
      <c r="H8" s="47" t="s">
        <v>18</v>
      </c>
      <c r="I8" s="81"/>
      <c r="J8" s="75" t="s">
        <v>66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0</v>
      </c>
      <c r="O8" s="75" t="e">
        <f t="shared" si="1"/>
        <v>#DIV/0!</v>
      </c>
    </row>
    <row r="9" spans="1:15" s="165" customFormat="1" ht="23.25" customHeight="1" x14ac:dyDescent="0.3">
      <c r="A9" s="159" t="s">
        <v>203</v>
      </c>
      <c r="B9" s="160"/>
      <c r="C9" s="160"/>
      <c r="D9" s="160"/>
      <c r="E9" s="161"/>
      <c r="F9" s="162"/>
      <c r="G9" s="160"/>
      <c r="H9" s="163">
        <f>SUM(G10:G11)</f>
        <v>191000</v>
      </c>
      <c r="I9" s="164"/>
      <c r="J9" s="155"/>
      <c r="K9" s="155"/>
      <c r="L9" s="155"/>
      <c r="M9" s="155"/>
      <c r="N9" s="155"/>
      <c r="O9" s="155"/>
    </row>
    <row r="10" spans="1:15" s="59" customFormat="1" ht="16.5" x14ac:dyDescent="0.25">
      <c r="A10" s="60" t="s">
        <v>6</v>
      </c>
      <c r="B10" s="60">
        <v>430</v>
      </c>
      <c r="C10" s="60">
        <v>510</v>
      </c>
      <c r="D10" s="273">
        <f>VLOOKUP(RIGHT(LEFT(A9,11),4),'so nguoi'!$C$8:$N$21,2,0)</f>
        <v>5</v>
      </c>
      <c r="E10" s="61">
        <f>C10-B10</f>
        <v>80</v>
      </c>
      <c r="F10" s="62">
        <f>E10</f>
        <v>80</v>
      </c>
      <c r="G10" s="152">
        <f>F10*$L$1</f>
        <v>176000</v>
      </c>
      <c r="H10" s="153"/>
      <c r="I10" s="154"/>
      <c r="J10" s="156"/>
      <c r="K10" s="156"/>
      <c r="L10" s="156"/>
      <c r="M10" s="156"/>
      <c r="N10" s="156"/>
      <c r="O10" s="156"/>
    </row>
    <row r="11" spans="1:15" s="59" customFormat="1" ht="16.5" x14ac:dyDescent="0.25">
      <c r="A11" s="55" t="s">
        <v>7</v>
      </c>
      <c r="B11" s="55">
        <v>508</v>
      </c>
      <c r="C11" s="55">
        <v>510</v>
      </c>
      <c r="D11" s="273"/>
      <c r="E11" s="56">
        <f>C11-B11</f>
        <v>2</v>
      </c>
      <c r="F11" s="57">
        <f>IF(D10=0,0,(E11/(D10+D13)*D10))</f>
        <v>1</v>
      </c>
      <c r="G11" s="157">
        <f>F11*$L$2</f>
        <v>15000</v>
      </c>
      <c r="H11" s="158"/>
      <c r="I11" s="154"/>
      <c r="J11" s="156"/>
      <c r="K11" s="156"/>
      <c r="L11" s="156"/>
      <c r="M11" s="156"/>
      <c r="N11" s="156"/>
      <c r="O11" s="156"/>
    </row>
    <row r="12" spans="1:15" s="165" customFormat="1" ht="23.25" customHeight="1" x14ac:dyDescent="0.3">
      <c r="A12" s="159" t="s">
        <v>204</v>
      </c>
      <c r="B12" s="160"/>
      <c r="C12" s="160"/>
      <c r="D12" s="160"/>
      <c r="E12" s="161"/>
      <c r="F12" s="162"/>
      <c r="G12" s="160"/>
      <c r="H12" s="163">
        <f>SUM(G13:G14)</f>
        <v>21600</v>
      </c>
      <c r="I12" s="164"/>
      <c r="J12" s="155"/>
      <c r="K12" s="155"/>
      <c r="L12" s="155"/>
      <c r="M12" s="155"/>
      <c r="N12" s="155"/>
      <c r="O12" s="155"/>
    </row>
    <row r="13" spans="1:15" s="59" customFormat="1" ht="16.5" x14ac:dyDescent="0.25">
      <c r="A13" s="55" t="s">
        <v>6</v>
      </c>
      <c r="B13" s="55">
        <v>9582</v>
      </c>
      <c r="C13" s="55">
        <v>9585</v>
      </c>
      <c r="D13" s="273">
        <f>VLOOKUP(RIGHT(LEFT(A12,11),4),'so nguoi'!$C$8:$N$21,2,0)</f>
        <v>5</v>
      </c>
      <c r="E13" s="61">
        <f>C13-B13</f>
        <v>3</v>
      </c>
      <c r="F13" s="62">
        <f>E13</f>
        <v>3</v>
      </c>
      <c r="G13" s="152">
        <f>F13*$L$1</f>
        <v>6600</v>
      </c>
      <c r="H13" s="166"/>
      <c r="I13" s="154"/>
      <c r="J13" s="156"/>
      <c r="K13" s="156"/>
      <c r="L13" s="156"/>
      <c r="M13" s="156"/>
      <c r="N13" s="156"/>
      <c r="O13" s="156"/>
    </row>
    <row r="14" spans="1:15" s="59" customFormat="1" ht="16.5" x14ac:dyDescent="0.25">
      <c r="A14" s="55" t="s">
        <v>7</v>
      </c>
      <c r="B14" s="55">
        <f>B11</f>
        <v>508</v>
      </c>
      <c r="C14" s="55">
        <f>C11</f>
        <v>510</v>
      </c>
      <c r="D14" s="273"/>
      <c r="E14" s="56">
        <f>C14-B14</f>
        <v>2</v>
      </c>
      <c r="F14" s="57">
        <f>IF(D13=0,0,(E14/(D13+D10)*D13))</f>
        <v>1</v>
      </c>
      <c r="G14" s="157">
        <f>F14*$L$2</f>
        <v>15000</v>
      </c>
      <c r="H14" s="158"/>
      <c r="I14" s="154"/>
      <c r="J14" s="156"/>
      <c r="K14" s="156"/>
      <c r="L14" s="156"/>
      <c r="M14" s="156"/>
      <c r="N14" s="156"/>
      <c r="O14" s="156"/>
    </row>
    <row r="15" spans="1:15" s="2" customFormat="1" ht="23.25" customHeight="1" x14ac:dyDescent="0.3">
      <c r="A15" s="124" t="s">
        <v>205</v>
      </c>
      <c r="B15" s="139"/>
      <c r="C15" s="139"/>
      <c r="D15" s="139"/>
      <c r="E15" s="140"/>
      <c r="F15" s="141"/>
      <c r="G15" s="139"/>
      <c r="H15" s="127">
        <f>SUM(G16:G17)</f>
        <v>377236.36363636365</v>
      </c>
      <c r="I15" s="142"/>
      <c r="J15" s="120"/>
      <c r="K15" s="120"/>
      <c r="L15" s="120"/>
      <c r="M15" s="120"/>
      <c r="N15" s="120"/>
      <c r="O15" s="120"/>
    </row>
    <row r="16" spans="1:15" s="59" customFormat="1" ht="16.5" x14ac:dyDescent="0.25">
      <c r="A16" s="60" t="s">
        <v>6</v>
      </c>
      <c r="B16" s="60">
        <v>332</v>
      </c>
      <c r="C16" s="60">
        <v>395</v>
      </c>
      <c r="D16" s="273">
        <f>VLOOKUP(RIGHT(LEFT(A15,11),4),'so nguoi'!$C$8:$N$21,2,0)</f>
        <v>5</v>
      </c>
      <c r="E16" s="61">
        <f>C16-B16</f>
        <v>63</v>
      </c>
      <c r="F16" s="62">
        <f>E16</f>
        <v>63</v>
      </c>
      <c r="G16" s="152">
        <f>F16*$L$1</f>
        <v>138600</v>
      </c>
      <c r="H16" s="153"/>
      <c r="I16" s="154"/>
      <c r="J16" s="156"/>
      <c r="K16" s="156"/>
      <c r="L16" s="156"/>
      <c r="M16" s="156"/>
      <c r="N16" s="156"/>
      <c r="O16" s="156"/>
    </row>
    <row r="17" spans="1:15" s="59" customFormat="1" ht="16.5" x14ac:dyDescent="0.25">
      <c r="A17" s="55" t="s">
        <v>7</v>
      </c>
      <c r="B17" s="55">
        <v>5277</v>
      </c>
      <c r="C17" s="55">
        <v>5312</v>
      </c>
      <c r="D17" s="273"/>
      <c r="E17" s="56">
        <f>C17-B17</f>
        <v>35</v>
      </c>
      <c r="F17" s="151">
        <f>IF(D16=0,0,(E17/(D16+D19)*D16))</f>
        <v>15.909090909090908</v>
      </c>
      <c r="G17" s="157">
        <f>F17*$L$2</f>
        <v>238636.36363636362</v>
      </c>
      <c r="H17" s="158"/>
      <c r="I17" s="154"/>
      <c r="J17" s="156"/>
      <c r="K17" s="156"/>
      <c r="L17" s="156"/>
      <c r="M17" s="156"/>
      <c r="N17" s="156"/>
      <c r="O17" s="156"/>
    </row>
    <row r="18" spans="1:15" s="2" customFormat="1" ht="23.25" customHeight="1" x14ac:dyDescent="0.3">
      <c r="A18" s="124" t="s">
        <v>206</v>
      </c>
      <c r="B18" s="139"/>
      <c r="C18" s="139"/>
      <c r="D18" s="139"/>
      <c r="E18" s="140"/>
      <c r="F18" s="141"/>
      <c r="G18" s="139"/>
      <c r="H18" s="127">
        <f>SUM(G19:G20)</f>
        <v>468963.63636363635</v>
      </c>
      <c r="I18" s="142"/>
      <c r="J18" s="120"/>
      <c r="K18" s="120"/>
      <c r="L18" s="120"/>
      <c r="M18" s="120"/>
      <c r="N18" s="120"/>
      <c r="O18" s="120"/>
    </row>
    <row r="19" spans="1:15" ht="16.5" x14ac:dyDescent="0.25">
      <c r="A19" s="7" t="s">
        <v>6</v>
      </c>
      <c r="B19" s="7">
        <v>3182</v>
      </c>
      <c r="C19" s="7">
        <v>3265</v>
      </c>
      <c r="D19" s="287">
        <f>VLOOKUP(RIGHT(LEFT(A18,11),4),'so nguoi'!$C$8:$N$21,2,0)</f>
        <v>6</v>
      </c>
      <c r="E19" s="6">
        <f>C19-B19</f>
        <v>83</v>
      </c>
      <c r="F19" s="17">
        <f>E19</f>
        <v>83</v>
      </c>
      <c r="G19" s="109">
        <f>F19*$L$1</f>
        <v>182600</v>
      </c>
      <c r="H19" s="117"/>
      <c r="I19" s="81"/>
      <c r="J19" s="75"/>
      <c r="K19" s="75"/>
      <c r="L19" s="75"/>
      <c r="M19" s="75"/>
      <c r="N19" s="75"/>
      <c r="O19" s="75"/>
    </row>
    <row r="20" spans="1:15" ht="16.5" x14ac:dyDescent="0.25">
      <c r="A20" s="7" t="s">
        <v>7</v>
      </c>
      <c r="B20" s="7">
        <f>B17</f>
        <v>5277</v>
      </c>
      <c r="C20" s="7">
        <f>C17</f>
        <v>5312</v>
      </c>
      <c r="D20" s="287"/>
      <c r="E20" s="8">
        <f>C20-B20</f>
        <v>35</v>
      </c>
      <c r="F20" s="151">
        <f>IF(D19=0,0,(E20/(D19+D16)*D19))</f>
        <v>19.09090909090909</v>
      </c>
      <c r="G20" s="110">
        <f>F20*$L$2</f>
        <v>286363.63636363635</v>
      </c>
      <c r="H20" s="116"/>
      <c r="I20" s="81"/>
      <c r="J20" s="75"/>
      <c r="K20" s="75"/>
      <c r="L20" s="75"/>
      <c r="M20" s="75"/>
      <c r="N20" s="75"/>
      <c r="O20" s="75"/>
    </row>
    <row r="21" spans="1:15" s="2" customFormat="1" ht="23.25" customHeight="1" x14ac:dyDescent="0.3">
      <c r="A21" s="124" t="s">
        <v>201</v>
      </c>
      <c r="B21" s="139"/>
      <c r="C21" s="139"/>
      <c r="D21" s="139"/>
      <c r="E21" s="140"/>
      <c r="F21" s="141"/>
      <c r="G21" s="139"/>
      <c r="H21" s="127">
        <f>SUM(G22:G23)</f>
        <v>1006072.7272727273</v>
      </c>
      <c r="I21" s="142"/>
      <c r="J21" s="120"/>
      <c r="K21" s="120"/>
      <c r="L21" s="120"/>
      <c r="M21" s="120"/>
      <c r="N21" s="120"/>
      <c r="O21" s="120"/>
    </row>
    <row r="22" spans="1:15" ht="16.5" x14ac:dyDescent="0.25">
      <c r="A22" s="5" t="s">
        <v>6</v>
      </c>
      <c r="B22" s="5">
        <v>9252</v>
      </c>
      <c r="C22" s="5">
        <v>9356</v>
      </c>
      <c r="D22" s="287">
        <f>VLOOKUP(RIGHT(LEFT(A21,11),4),'so nguoi'!$C$8:$N$21,2,0)</f>
        <v>6</v>
      </c>
      <c r="E22" s="6">
        <f>C22-B22</f>
        <v>104</v>
      </c>
      <c r="F22" s="17">
        <f>E22</f>
        <v>104</v>
      </c>
      <c r="G22" s="109">
        <f>F22*$L$1</f>
        <v>228800</v>
      </c>
      <c r="H22" s="115"/>
      <c r="I22" s="81"/>
      <c r="J22" s="75"/>
      <c r="K22" s="75"/>
      <c r="L22" s="75"/>
      <c r="M22" s="75"/>
      <c r="N22" s="75"/>
      <c r="O22" s="75"/>
    </row>
    <row r="23" spans="1:15" ht="16.5" x14ac:dyDescent="0.25">
      <c r="A23" s="7" t="s">
        <v>7</v>
      </c>
      <c r="B23" s="7">
        <v>4413</v>
      </c>
      <c r="C23" s="7">
        <v>4508</v>
      </c>
      <c r="D23" s="287"/>
      <c r="E23" s="8">
        <f>C23-B23</f>
        <v>95</v>
      </c>
      <c r="F23" s="151">
        <f>IF(D22=0,0,(E23/(D22+D25)*D22))</f>
        <v>51.81818181818182</v>
      </c>
      <c r="G23" s="110">
        <f>F23*$L$2</f>
        <v>777272.72727272729</v>
      </c>
      <c r="H23" s="116"/>
      <c r="I23" s="81"/>
      <c r="J23" s="75"/>
      <c r="K23" s="75"/>
      <c r="L23" s="75"/>
      <c r="M23" s="75"/>
      <c r="N23" s="75"/>
      <c r="O23" s="75"/>
    </row>
    <row r="24" spans="1:15" s="2" customFormat="1" ht="23.25" customHeight="1" x14ac:dyDescent="0.3">
      <c r="A24" s="124" t="s">
        <v>202</v>
      </c>
      <c r="B24" s="139"/>
      <c r="C24" s="139"/>
      <c r="D24" s="139"/>
      <c r="E24" s="140"/>
      <c r="F24" s="141"/>
      <c r="G24" s="139"/>
      <c r="H24" s="127">
        <f>SUM(G25:G26)</f>
        <v>900727.27272727282</v>
      </c>
      <c r="I24" s="142"/>
      <c r="J24" s="120"/>
      <c r="K24" s="120"/>
      <c r="L24" s="120"/>
      <c r="M24" s="120"/>
      <c r="N24" s="120"/>
      <c r="O24" s="120"/>
    </row>
    <row r="25" spans="1:15" ht="16.5" x14ac:dyDescent="0.25">
      <c r="A25" s="5" t="s">
        <v>6</v>
      </c>
      <c r="B25" s="5">
        <v>1877</v>
      </c>
      <c r="C25" s="5">
        <v>1992</v>
      </c>
      <c r="D25" s="287">
        <f>VLOOKUP(RIGHT(LEFT(A24,11),4),'so nguoi'!$C$8:$N$21,2,0)</f>
        <v>5</v>
      </c>
      <c r="E25" s="6">
        <f>C25-B25</f>
        <v>115</v>
      </c>
      <c r="F25" s="17">
        <f>E25</f>
        <v>115</v>
      </c>
      <c r="G25" s="109">
        <f>F25*$L$1</f>
        <v>253000</v>
      </c>
      <c r="H25" s="115"/>
      <c r="I25" s="81"/>
      <c r="J25" s="75"/>
      <c r="K25" s="75"/>
      <c r="L25" s="75"/>
      <c r="M25" s="75"/>
      <c r="N25" s="75"/>
      <c r="O25" s="75"/>
    </row>
    <row r="26" spans="1:15" ht="16.5" x14ac:dyDescent="0.25">
      <c r="A26" s="7" t="s">
        <v>7</v>
      </c>
      <c r="B26" s="7">
        <f>B23</f>
        <v>4413</v>
      </c>
      <c r="C26" s="7">
        <f>C23</f>
        <v>4508</v>
      </c>
      <c r="D26" s="287"/>
      <c r="E26" s="8">
        <f>C26-B26</f>
        <v>95</v>
      </c>
      <c r="F26" s="151">
        <f>IF(D25=0,0,(E26/(D25+D22)*D25))</f>
        <v>43.181818181818187</v>
      </c>
      <c r="G26" s="110">
        <f>F26*$L$2</f>
        <v>647727.27272727282</v>
      </c>
      <c r="H26" s="116"/>
      <c r="I26" s="81"/>
      <c r="J26" s="75"/>
      <c r="K26" s="75"/>
      <c r="L26" s="75"/>
      <c r="M26" s="75"/>
      <c r="N26" s="75"/>
      <c r="O26" s="75"/>
    </row>
    <row r="27" spans="1:15" s="2" customFormat="1" ht="23.25" customHeight="1" x14ac:dyDescent="0.3">
      <c r="A27" s="124" t="s">
        <v>177</v>
      </c>
      <c r="B27" s="139"/>
      <c r="C27" s="139"/>
      <c r="D27" s="139"/>
      <c r="E27" s="140"/>
      <c r="F27" s="141"/>
      <c r="G27" s="139"/>
      <c r="H27" s="127">
        <f>SUM(G28:G29)</f>
        <v>0</v>
      </c>
      <c r="I27" s="142"/>
      <c r="J27" s="120"/>
      <c r="K27" s="120"/>
      <c r="L27" s="120"/>
      <c r="M27" s="120"/>
      <c r="N27" s="120"/>
      <c r="O27" s="120"/>
    </row>
    <row r="28" spans="1:15" ht="16.5" x14ac:dyDescent="0.25">
      <c r="A28" s="5" t="s">
        <v>6</v>
      </c>
      <c r="B28" s="5">
        <v>124</v>
      </c>
      <c r="C28" s="5">
        <v>124</v>
      </c>
      <c r="D28" s="287">
        <f>VLOOKUP(RIGHT(LEFT(A27,11),4),'so nguoi'!$E$8:$N$21,2,0)</f>
        <v>5</v>
      </c>
      <c r="E28" s="6">
        <f>C28-B28</f>
        <v>0</v>
      </c>
      <c r="F28" s="17">
        <f>E28</f>
        <v>0</v>
      </c>
      <c r="G28" s="109">
        <f>F28*$L$1</f>
        <v>0</v>
      </c>
      <c r="H28" s="115"/>
      <c r="I28" s="81"/>
      <c r="J28" s="75"/>
      <c r="K28" s="75"/>
      <c r="L28" s="75"/>
      <c r="M28" s="75"/>
      <c r="N28" s="75"/>
      <c r="O28" s="75"/>
    </row>
    <row r="29" spans="1:15" ht="16.5" x14ac:dyDescent="0.25">
      <c r="A29" s="7" t="s">
        <v>7</v>
      </c>
      <c r="B29" s="7">
        <v>51</v>
      </c>
      <c r="C29" s="7">
        <v>51</v>
      </c>
      <c r="D29" s="287"/>
      <c r="E29" s="8">
        <f>C29-B29</f>
        <v>0</v>
      </c>
      <c r="F29" s="151">
        <f>IF(D28=0,0,(E29/(D28+D31)*D28))</f>
        <v>0</v>
      </c>
      <c r="G29" s="110">
        <f>F29*$L$2</f>
        <v>0</v>
      </c>
      <c r="H29" s="116"/>
      <c r="I29" s="81"/>
      <c r="J29" s="75"/>
      <c r="K29" s="75"/>
      <c r="L29" s="75"/>
      <c r="M29" s="75"/>
      <c r="N29" s="75"/>
      <c r="O29" s="75"/>
    </row>
    <row r="30" spans="1:15" s="2" customFormat="1" ht="23.25" customHeight="1" x14ac:dyDescent="0.3">
      <c r="A30" s="124" t="s">
        <v>178</v>
      </c>
      <c r="B30" s="139"/>
      <c r="C30" s="139"/>
      <c r="D30" s="139"/>
      <c r="E30" s="140"/>
      <c r="F30" s="141"/>
      <c r="G30" s="139"/>
      <c r="H30" s="127">
        <f>SUM(G31:G32)</f>
        <v>0</v>
      </c>
      <c r="I30" s="142"/>
      <c r="J30" s="120"/>
      <c r="K30" s="120"/>
      <c r="L30" s="120"/>
      <c r="M30" s="120"/>
      <c r="N30" s="120"/>
      <c r="O30" s="120"/>
    </row>
    <row r="31" spans="1:15" s="59" customFormat="1" ht="16.5" x14ac:dyDescent="0.25">
      <c r="A31" s="60" t="s">
        <v>6</v>
      </c>
      <c r="B31" s="60">
        <v>691</v>
      </c>
      <c r="C31" s="60">
        <v>691</v>
      </c>
      <c r="D31" s="273">
        <f>VLOOKUP(RIGHT(LEFT(A30,11),4),'so nguoi'!$E$8:$N$21,2,0)</f>
        <v>5</v>
      </c>
      <c r="E31" s="61">
        <f>C31-B31</f>
        <v>0</v>
      </c>
      <c r="F31" s="62">
        <f>E31</f>
        <v>0</v>
      </c>
      <c r="G31" s="152">
        <f>F31*$L$1</f>
        <v>0</v>
      </c>
      <c r="H31" s="153"/>
      <c r="I31" s="154"/>
      <c r="J31" s="156"/>
      <c r="K31" s="156"/>
      <c r="L31" s="156"/>
      <c r="M31" s="156"/>
      <c r="N31" s="156"/>
      <c r="O31" s="156"/>
    </row>
    <row r="32" spans="1:15" s="59" customFormat="1" ht="16.5" x14ac:dyDescent="0.25">
      <c r="A32" s="55" t="s">
        <v>7</v>
      </c>
      <c r="B32" s="55">
        <f>B29</f>
        <v>51</v>
      </c>
      <c r="C32" s="55">
        <f>C29</f>
        <v>51</v>
      </c>
      <c r="D32" s="273"/>
      <c r="E32" s="56">
        <f>C32-B32</f>
        <v>0</v>
      </c>
      <c r="F32" s="151">
        <f>IF(D31=0,0,(E32/(D31+D28)*D31))</f>
        <v>0</v>
      </c>
      <c r="G32" s="157">
        <f>F32*$L$2</f>
        <v>0</v>
      </c>
      <c r="H32" s="158"/>
      <c r="I32" s="154"/>
      <c r="J32" s="156"/>
      <c r="K32" s="156"/>
      <c r="L32" s="156"/>
      <c r="M32" s="156"/>
      <c r="N32" s="156"/>
      <c r="O32" s="156"/>
    </row>
    <row r="33" spans="1:15" s="2" customFormat="1" ht="23.25" customHeight="1" x14ac:dyDescent="0.3">
      <c r="A33" s="124" t="s">
        <v>179</v>
      </c>
      <c r="B33" s="139"/>
      <c r="C33" s="139"/>
      <c r="D33" s="139"/>
      <c r="E33" s="140"/>
      <c r="F33" s="141"/>
      <c r="G33" s="139"/>
      <c r="H33" s="127">
        <f>SUM(G34:G35)</f>
        <v>796400</v>
      </c>
      <c r="I33" s="142"/>
      <c r="J33" s="120"/>
      <c r="K33" s="120"/>
      <c r="L33" s="120"/>
      <c r="M33" s="120"/>
      <c r="N33" s="120"/>
      <c r="O33" s="120"/>
    </row>
    <row r="34" spans="1:15" ht="16.5" x14ac:dyDescent="0.25">
      <c r="A34" s="5" t="s">
        <v>6</v>
      </c>
      <c r="B34" s="5">
        <v>361</v>
      </c>
      <c r="C34" s="5">
        <v>498</v>
      </c>
      <c r="D34" s="287">
        <f>VLOOKUP(RIGHT(LEFT(A33,11),4),'so nguoi'!$E$8:$N$21,2,0)</f>
        <v>6</v>
      </c>
      <c r="E34" s="6">
        <f>C34-B34</f>
        <v>137</v>
      </c>
      <c r="F34" s="17">
        <f>E34</f>
        <v>137</v>
      </c>
      <c r="G34" s="109">
        <f>F34*$L$1</f>
        <v>301400</v>
      </c>
      <c r="H34" s="115"/>
      <c r="I34" s="81"/>
      <c r="J34" s="75"/>
      <c r="K34" s="75"/>
      <c r="L34" s="75"/>
      <c r="M34" s="75"/>
      <c r="N34" s="75"/>
      <c r="O34" s="75"/>
    </row>
    <row r="35" spans="1:15" ht="16.5" x14ac:dyDescent="0.25">
      <c r="A35" s="7" t="s">
        <v>7</v>
      </c>
      <c r="B35" s="7">
        <v>135</v>
      </c>
      <c r="C35" s="7">
        <v>168</v>
      </c>
      <c r="D35" s="287"/>
      <c r="E35" s="8">
        <f>C35-B35</f>
        <v>33</v>
      </c>
      <c r="F35" s="151">
        <f>E35</f>
        <v>33</v>
      </c>
      <c r="G35" s="110">
        <f>F35*$L$2</f>
        <v>495000</v>
      </c>
      <c r="H35" s="115"/>
      <c r="I35" s="81"/>
      <c r="J35" s="75"/>
      <c r="K35" s="75"/>
      <c r="L35" s="75"/>
      <c r="M35" s="75"/>
      <c r="N35" s="75"/>
      <c r="O35" s="75"/>
    </row>
    <row r="36" spans="1:15" s="2" customFormat="1" ht="23.25" customHeight="1" x14ac:dyDescent="0.3">
      <c r="A36" s="124" t="s">
        <v>180</v>
      </c>
      <c r="B36" s="139"/>
      <c r="C36" s="139"/>
      <c r="D36" s="139"/>
      <c r="E36" s="140"/>
      <c r="F36" s="141"/>
      <c r="G36" s="139"/>
      <c r="H36" s="127">
        <f>SUM(G37:G38)</f>
        <v>213400</v>
      </c>
      <c r="I36" s="142"/>
      <c r="J36" s="120"/>
      <c r="K36" s="120"/>
      <c r="L36" s="120"/>
      <c r="M36" s="120"/>
      <c r="N36" s="120"/>
      <c r="O36" s="120"/>
    </row>
    <row r="37" spans="1:15" ht="16.5" x14ac:dyDescent="0.25">
      <c r="A37" s="7" t="s">
        <v>6</v>
      </c>
      <c r="B37" s="7">
        <v>257</v>
      </c>
      <c r="C37" s="7">
        <v>354</v>
      </c>
      <c r="D37" s="287">
        <f>VLOOKUP(RIGHT(LEFT(A36,11),4),'so nguoi'!$E$8:$N$21,2,0)</f>
        <v>0</v>
      </c>
      <c r="E37" s="6">
        <f>C37-B37</f>
        <v>97</v>
      </c>
      <c r="F37" s="17">
        <f>E37</f>
        <v>97</v>
      </c>
      <c r="G37" s="111">
        <f>F37*$L$1</f>
        <v>213400</v>
      </c>
      <c r="H37" s="118"/>
      <c r="I37" s="81"/>
      <c r="J37" s="75"/>
      <c r="K37" s="75"/>
      <c r="L37" s="75"/>
      <c r="M37" s="75"/>
      <c r="N37" s="75"/>
      <c r="O37" s="75"/>
    </row>
    <row r="38" spans="1:15" ht="16.5" x14ac:dyDescent="0.25">
      <c r="A38" s="7" t="s">
        <v>7</v>
      </c>
      <c r="B38" s="7">
        <v>310</v>
      </c>
      <c r="C38" s="7">
        <v>351</v>
      </c>
      <c r="D38" s="287"/>
      <c r="E38" s="8">
        <f>C38-B38</f>
        <v>41</v>
      </c>
      <c r="F38" s="151">
        <f>IF(D37=0,0,(E38/(D37+D40)*D37))</f>
        <v>0</v>
      </c>
      <c r="G38" s="112">
        <f>F38*$L$2</f>
        <v>0</v>
      </c>
      <c r="H38" s="119"/>
      <c r="I38" s="81"/>
      <c r="J38" s="75"/>
      <c r="K38" s="75"/>
      <c r="L38" s="75"/>
      <c r="M38" s="75"/>
      <c r="N38" s="75"/>
      <c r="O38" s="75"/>
    </row>
    <row r="39" spans="1:15" s="2" customFormat="1" ht="23.25" customHeight="1" x14ac:dyDescent="0.3">
      <c r="A39" s="124" t="s">
        <v>181</v>
      </c>
      <c r="B39" s="139"/>
      <c r="C39" s="139"/>
      <c r="D39" s="139"/>
      <c r="E39" s="140"/>
      <c r="F39" s="141"/>
      <c r="G39" s="139"/>
      <c r="H39" s="127">
        <f>SUM(G40:G41)</f>
        <v>169400</v>
      </c>
      <c r="I39" s="142"/>
      <c r="J39" s="120"/>
      <c r="K39" s="120"/>
      <c r="L39" s="120"/>
      <c r="M39" s="120"/>
      <c r="N39" s="120"/>
      <c r="O39" s="120"/>
    </row>
    <row r="40" spans="1:15" ht="16.5" x14ac:dyDescent="0.25">
      <c r="A40" s="5" t="s">
        <v>6</v>
      </c>
      <c r="B40" s="5">
        <v>381</v>
      </c>
      <c r="C40" s="5">
        <v>458</v>
      </c>
      <c r="D40" s="287">
        <f>VLOOKUP(RIGHT(LEFT(A39,11),4),'so nguoi'!$E$8:$N$21,2,0)</f>
        <v>0</v>
      </c>
      <c r="E40" s="6">
        <f>C40-B40</f>
        <v>77</v>
      </c>
      <c r="F40" s="17">
        <f>E40</f>
        <v>77</v>
      </c>
      <c r="G40" s="109">
        <f>F40*$L$1</f>
        <v>169400</v>
      </c>
      <c r="H40" s="115"/>
      <c r="I40" s="81"/>
      <c r="J40" s="75"/>
      <c r="K40" s="75"/>
      <c r="L40" s="75"/>
      <c r="M40" s="75"/>
      <c r="N40" s="75"/>
      <c r="O40" s="75"/>
    </row>
    <row r="41" spans="1:15" ht="16.5" x14ac:dyDescent="0.25">
      <c r="A41" s="7" t="s">
        <v>7</v>
      </c>
      <c r="B41" s="7">
        <f>B38</f>
        <v>310</v>
      </c>
      <c r="C41" s="7">
        <f>C38</f>
        <v>351</v>
      </c>
      <c r="D41" s="287"/>
      <c r="E41" s="8">
        <f>C41-B41</f>
        <v>41</v>
      </c>
      <c r="F41" s="151">
        <f>IF(D40=0,0,(E41/(D40+D37)*D40))</f>
        <v>0</v>
      </c>
      <c r="G41" s="110">
        <f>F41*$L$2</f>
        <v>0</v>
      </c>
      <c r="H41" s="116"/>
      <c r="I41" s="81"/>
      <c r="J41" s="75"/>
      <c r="K41" s="75"/>
      <c r="L41" s="75"/>
      <c r="M41" s="75"/>
      <c r="N41" s="75"/>
      <c r="O41" s="75"/>
    </row>
    <row r="42" spans="1:15" s="2" customFormat="1" ht="23.25" customHeight="1" x14ac:dyDescent="0.3">
      <c r="A42" s="124" t="s">
        <v>182</v>
      </c>
      <c r="B42" s="139"/>
      <c r="C42" s="139"/>
      <c r="D42" s="139"/>
      <c r="E42" s="140"/>
      <c r="F42" s="141"/>
      <c r="G42" s="139"/>
      <c r="H42" s="127">
        <f>SUM(G43:G44)</f>
        <v>1352800</v>
      </c>
      <c r="I42" s="142"/>
      <c r="J42" s="120"/>
      <c r="K42" s="120"/>
      <c r="L42" s="120"/>
      <c r="M42" s="120"/>
      <c r="N42" s="120"/>
      <c r="O42" s="120"/>
    </row>
    <row r="43" spans="1:15" ht="16.5" x14ac:dyDescent="0.25">
      <c r="A43" s="5" t="s">
        <v>6</v>
      </c>
      <c r="B43" s="5">
        <v>727</v>
      </c>
      <c r="C43" s="5">
        <v>851</v>
      </c>
      <c r="D43" s="287">
        <f>VLOOKUP(RIGHT(LEFT(A42,11),4),'so nguoi'!$E$8:$N$21,2,0)</f>
        <v>5</v>
      </c>
      <c r="E43" s="6">
        <f>C43-B43</f>
        <v>124</v>
      </c>
      <c r="F43" s="17">
        <f>E43</f>
        <v>124</v>
      </c>
      <c r="G43" s="109">
        <f>F43*$L$1</f>
        <v>272800</v>
      </c>
      <c r="H43" s="115"/>
      <c r="I43" s="81"/>
      <c r="J43" s="75"/>
      <c r="K43" s="75"/>
      <c r="L43" s="75"/>
      <c r="M43" s="75"/>
      <c r="N43" s="75"/>
      <c r="O43" s="75"/>
    </row>
    <row r="44" spans="1:15" ht="16.5" x14ac:dyDescent="0.25">
      <c r="A44" s="7" t="s">
        <v>7</v>
      </c>
      <c r="B44" s="7">
        <v>398</v>
      </c>
      <c r="C44" s="7">
        <v>470</v>
      </c>
      <c r="D44" s="287"/>
      <c r="E44" s="8">
        <f>C44-B44</f>
        <v>72</v>
      </c>
      <c r="F44" s="151">
        <f>IF(D43=0,0,(E44/(D43+D46)*D43))</f>
        <v>72</v>
      </c>
      <c r="G44" s="110">
        <f>F44*$L$2</f>
        <v>1080000</v>
      </c>
      <c r="H44" s="116"/>
      <c r="I44" s="81"/>
      <c r="J44" s="75"/>
      <c r="K44" s="75"/>
      <c r="L44" s="75"/>
      <c r="M44" s="75"/>
      <c r="N44" s="75"/>
      <c r="O44" s="75"/>
    </row>
    <row r="45" spans="1:15" s="2" customFormat="1" ht="23.25" customHeight="1" x14ac:dyDescent="0.3">
      <c r="A45" s="124" t="s">
        <v>183</v>
      </c>
      <c r="B45" s="139"/>
      <c r="C45" s="139"/>
      <c r="D45" s="139"/>
      <c r="E45" s="140"/>
      <c r="F45" s="141"/>
      <c r="G45" s="139"/>
      <c r="H45" s="127">
        <f>SUM(G46:G47)</f>
        <v>213400</v>
      </c>
      <c r="I45" s="142"/>
      <c r="J45" s="120"/>
      <c r="K45" s="120"/>
      <c r="L45" s="120"/>
      <c r="M45" s="120"/>
      <c r="N45" s="120"/>
      <c r="O45" s="120"/>
    </row>
    <row r="46" spans="1:15" ht="16.5" x14ac:dyDescent="0.25">
      <c r="A46" s="5" t="s">
        <v>6</v>
      </c>
      <c r="B46" s="5">
        <v>564</v>
      </c>
      <c r="C46" s="5">
        <v>661</v>
      </c>
      <c r="D46" s="287">
        <f>VLOOKUP(RIGHT(LEFT(A45,11),4),'so nguoi'!$E$8:$N$21,2,0)</f>
        <v>0</v>
      </c>
      <c r="E46" s="6">
        <f>C46-B46</f>
        <v>97</v>
      </c>
      <c r="F46" s="17">
        <f>E46</f>
        <v>97</v>
      </c>
      <c r="G46" s="109">
        <f>F46*$L$1</f>
        <v>213400</v>
      </c>
      <c r="H46" s="115"/>
      <c r="I46" s="81"/>
      <c r="J46" s="75"/>
      <c r="K46" s="75"/>
      <c r="L46" s="75"/>
      <c r="M46" s="75"/>
      <c r="N46" s="75"/>
      <c r="O46" s="75"/>
    </row>
    <row r="47" spans="1:15" ht="16.5" x14ac:dyDescent="0.25">
      <c r="A47" s="7" t="s">
        <v>7</v>
      </c>
      <c r="B47" s="7">
        <f>B44</f>
        <v>398</v>
      </c>
      <c r="C47" s="7">
        <f>C44</f>
        <v>470</v>
      </c>
      <c r="D47" s="287"/>
      <c r="E47" s="8">
        <f>C47-B47</f>
        <v>72</v>
      </c>
      <c r="F47" s="151">
        <f>IF(D46=0,0,(E47/(D46+D43)*D46))</f>
        <v>0</v>
      </c>
      <c r="G47" s="110">
        <f>F47*$L$2</f>
        <v>0</v>
      </c>
      <c r="H47" s="116"/>
      <c r="I47" s="81"/>
      <c r="J47" s="75"/>
      <c r="K47" s="75"/>
      <c r="L47" s="75"/>
      <c r="M47" s="75"/>
      <c r="N47" s="75"/>
      <c r="O47" s="75"/>
    </row>
    <row r="48" spans="1:15" s="2" customFormat="1" ht="23.25" customHeight="1" x14ac:dyDescent="0.3">
      <c r="A48" s="124" t="s">
        <v>184</v>
      </c>
      <c r="B48" s="139"/>
      <c r="C48" s="139"/>
      <c r="D48" s="139"/>
      <c r="E48" s="140"/>
      <c r="F48" s="141"/>
      <c r="G48" s="139"/>
      <c r="H48" s="127">
        <f>SUM(G49:G50)</f>
        <v>396000</v>
      </c>
      <c r="I48" s="142"/>
      <c r="J48" s="120"/>
      <c r="K48" s="120"/>
      <c r="L48" s="120"/>
      <c r="M48" s="120"/>
      <c r="N48" s="120"/>
      <c r="O48" s="120"/>
    </row>
    <row r="49" spans="1:15" ht="16.5" x14ac:dyDescent="0.25">
      <c r="A49" s="5" t="s">
        <v>6</v>
      </c>
      <c r="B49" s="5">
        <v>841</v>
      </c>
      <c r="C49" s="5">
        <v>1021</v>
      </c>
      <c r="D49" s="287">
        <f>VLOOKUP(RIGHT(LEFT(A48,11),4),'so nguoi'!$E$8:$N$21,2,0)</f>
        <v>0</v>
      </c>
      <c r="E49" s="6">
        <f>C49-B49</f>
        <v>180</v>
      </c>
      <c r="F49" s="17">
        <f>E49</f>
        <v>180</v>
      </c>
      <c r="G49" s="109">
        <f>F49*$L$1</f>
        <v>396000</v>
      </c>
      <c r="H49" s="115"/>
      <c r="I49" s="81"/>
      <c r="J49" s="75"/>
      <c r="K49" s="75"/>
      <c r="L49" s="75"/>
      <c r="M49" s="75"/>
      <c r="N49" s="75"/>
      <c r="O49" s="75"/>
    </row>
    <row r="50" spans="1:15" s="59" customFormat="1" ht="16.5" x14ac:dyDescent="0.25">
      <c r="A50" s="167" t="s">
        <v>7</v>
      </c>
      <c r="B50" s="167">
        <v>198</v>
      </c>
      <c r="C50" s="167">
        <v>220</v>
      </c>
      <c r="D50" s="287"/>
      <c r="E50" s="168">
        <f>C50-B50</f>
        <v>22</v>
      </c>
      <c r="F50" s="151">
        <f>IF(D49=0,0,(E50/(D49+D52)*D49))</f>
        <v>0</v>
      </c>
      <c r="G50" s="169">
        <f>F50*$L$2</f>
        <v>0</v>
      </c>
      <c r="H50" s="153"/>
      <c r="I50" s="154"/>
      <c r="J50" s="156"/>
      <c r="K50" s="156"/>
      <c r="L50" s="156"/>
      <c r="M50" s="156"/>
      <c r="N50" s="156"/>
      <c r="O50" s="156"/>
    </row>
    <row r="51" spans="1:15" s="2" customFormat="1" ht="23.25" customHeight="1" x14ac:dyDescent="0.3">
      <c r="A51" s="124" t="s">
        <v>218</v>
      </c>
      <c r="B51" s="139"/>
      <c r="C51" s="139"/>
      <c r="D51" s="139"/>
      <c r="E51" s="140"/>
      <c r="F51" s="141"/>
      <c r="G51" s="139"/>
      <c r="H51" s="127">
        <f>SUM(G52:G53)</f>
        <v>0</v>
      </c>
      <c r="I51" s="142"/>
      <c r="J51" s="120"/>
      <c r="K51" s="120"/>
      <c r="L51" s="120"/>
      <c r="M51" s="120"/>
      <c r="N51" s="120"/>
      <c r="O51" s="120"/>
    </row>
    <row r="52" spans="1:15" ht="16.5" x14ac:dyDescent="0.25">
      <c r="A52" s="5" t="s">
        <v>6</v>
      </c>
      <c r="B52" s="5">
        <v>202</v>
      </c>
      <c r="C52" s="5">
        <v>202</v>
      </c>
      <c r="D52" s="287">
        <f>VLOOKUP(RIGHT(LEFT(A51,11),4),'so nguoi'!$E$8:$N$21,2,0)</f>
        <v>0</v>
      </c>
      <c r="E52" s="6">
        <f>C52-B52</f>
        <v>0</v>
      </c>
      <c r="F52" s="17">
        <f>E52</f>
        <v>0</v>
      </c>
      <c r="G52" s="109">
        <f>F52*$L$1</f>
        <v>0</v>
      </c>
      <c r="H52" s="115"/>
      <c r="I52" s="81"/>
      <c r="J52" s="75"/>
      <c r="K52" s="75"/>
      <c r="L52" s="75"/>
      <c r="M52" s="75"/>
      <c r="N52" s="75"/>
      <c r="O52" s="75"/>
    </row>
    <row r="53" spans="1:15" s="59" customFormat="1" ht="16.5" x14ac:dyDescent="0.25">
      <c r="A53" s="167" t="s">
        <v>7</v>
      </c>
      <c r="B53" s="167">
        <f>B50</f>
        <v>198</v>
      </c>
      <c r="C53" s="167">
        <f>C50</f>
        <v>220</v>
      </c>
      <c r="D53" s="287"/>
      <c r="E53" s="168">
        <f>C53-B53</f>
        <v>22</v>
      </c>
      <c r="F53" s="151">
        <f>IF(D52=0,0,(E53/(D52+D49)*D52))</f>
        <v>0</v>
      </c>
      <c r="G53" s="169">
        <f>F53*$L$2</f>
        <v>0</v>
      </c>
      <c r="H53" s="153"/>
      <c r="I53" s="154">
        <f>SUM(H9:H53)</f>
        <v>6107000</v>
      </c>
      <c r="J53" s="156"/>
      <c r="K53" s="156"/>
      <c r="L53" s="156"/>
      <c r="M53" s="156"/>
      <c r="N53" s="156"/>
      <c r="O53" s="156"/>
    </row>
    <row r="54" spans="1:15" s="2" customFormat="1" ht="23.25" customHeight="1" x14ac:dyDescent="0.3">
      <c r="A54" s="124" t="s">
        <v>222</v>
      </c>
      <c r="B54" s="139"/>
      <c r="C54" s="139"/>
      <c r="D54" s="139"/>
      <c r="E54" s="140"/>
      <c r="F54" s="141"/>
      <c r="G54" s="139"/>
      <c r="H54" s="127" t="e">
        <f>SUM(G55:G56)</f>
        <v>#N/A</v>
      </c>
      <c r="I54" s="142"/>
      <c r="J54" s="120"/>
      <c r="K54" s="120"/>
      <c r="L54" s="120"/>
      <c r="M54" s="120"/>
      <c r="N54" s="120"/>
      <c r="O54" s="120"/>
    </row>
    <row r="55" spans="1:15" ht="16.5" x14ac:dyDescent="0.25">
      <c r="A55" s="5" t="s">
        <v>6</v>
      </c>
      <c r="B55" s="5">
        <v>202</v>
      </c>
      <c r="C55" s="5">
        <v>202</v>
      </c>
      <c r="D55" s="287" t="e">
        <f>VLOOKUP(RIGHT(LEFT(A54,11),4),'so nguoi'!$E$8:$N$21,2,0)</f>
        <v>#N/A</v>
      </c>
      <c r="E55" s="6">
        <f>C55-B55</f>
        <v>0</v>
      </c>
      <c r="F55" s="17">
        <f>E55</f>
        <v>0</v>
      </c>
      <c r="G55" s="109">
        <f>F55*$L$1</f>
        <v>0</v>
      </c>
      <c r="H55" s="115"/>
      <c r="I55" s="81"/>
      <c r="J55" s="75"/>
      <c r="K55" s="75"/>
      <c r="L55" s="75"/>
      <c r="M55" s="75"/>
      <c r="N55" s="75"/>
      <c r="O55" s="75"/>
    </row>
    <row r="56" spans="1:15" s="59" customFormat="1" ht="16.5" x14ac:dyDescent="0.25">
      <c r="A56" s="167" t="s">
        <v>7</v>
      </c>
      <c r="B56" s="167">
        <f>B53</f>
        <v>198</v>
      </c>
      <c r="C56" s="167">
        <f>C53</f>
        <v>220</v>
      </c>
      <c r="D56" s="287"/>
      <c r="E56" s="168">
        <f>C56-B56</f>
        <v>22</v>
      </c>
      <c r="F56" s="151" t="e">
        <f>IF(D55=0,0,(E56/(D55+D52)*D55))</f>
        <v>#N/A</v>
      </c>
      <c r="G56" s="169" t="e">
        <f>F56*$L$2</f>
        <v>#N/A</v>
      </c>
      <c r="H56" s="153"/>
      <c r="I56" s="154" t="e">
        <f>SUM(H12:H56)</f>
        <v>#N/A</v>
      </c>
      <c r="J56" s="156"/>
      <c r="K56" s="156"/>
      <c r="L56" s="156"/>
      <c r="M56" s="156"/>
      <c r="N56" s="156"/>
      <c r="O56" s="156"/>
    </row>
    <row r="57" spans="1:15" ht="19.5" customHeight="1" x14ac:dyDescent="0.25">
      <c r="A57" s="278" t="s">
        <v>13</v>
      </c>
      <c r="B57" s="279"/>
      <c r="C57" s="279"/>
      <c r="D57" s="279"/>
      <c r="E57" s="279"/>
      <c r="F57" s="280"/>
      <c r="G57" s="73">
        <f ca="1">SUMIF($A$8:$F$53,"Điện",G8:G53)</f>
        <v>2552000</v>
      </c>
      <c r="H57" s="73">
        <f ca="1">SUMIF($A$8:$F$53,"Điện",F8:F53)</f>
        <v>1160</v>
      </c>
      <c r="I57" s="121">
        <f ca="1">H57*2200</f>
        <v>2552000</v>
      </c>
      <c r="J57" s="75"/>
      <c r="K57" s="75"/>
      <c r="L57" s="75"/>
      <c r="M57" s="75"/>
      <c r="N57" s="75"/>
      <c r="O57" s="75"/>
    </row>
    <row r="58" spans="1:15" ht="18" customHeight="1" x14ac:dyDescent="0.25">
      <c r="A58" s="278" t="s">
        <v>14</v>
      </c>
      <c r="B58" s="279"/>
      <c r="C58" s="279"/>
      <c r="D58" s="279"/>
      <c r="E58" s="279"/>
      <c r="F58" s="280"/>
      <c r="G58" s="73">
        <f ca="1">SUMIF($A$8:$F$53,"Nước",G8:G53)</f>
        <v>3555000</v>
      </c>
      <c r="H58" s="73">
        <f ca="1">SUMIF($A$9:$E$53,A50,$F$9:$F$53)</f>
        <v>237</v>
      </c>
      <c r="I58" s="121">
        <f ca="1">H58*15000</f>
        <v>3555000</v>
      </c>
      <c r="J58" s="75"/>
      <c r="K58" s="75"/>
      <c r="L58" s="75"/>
      <c r="M58" s="75"/>
      <c r="N58" s="75"/>
      <c r="O58" s="75"/>
    </row>
    <row r="59" spans="1:15" ht="17.25" customHeight="1" x14ac:dyDescent="0.25">
      <c r="A59" s="278" t="s">
        <v>15</v>
      </c>
      <c r="B59" s="279"/>
      <c r="C59" s="279"/>
      <c r="D59" s="279"/>
      <c r="E59" s="279"/>
      <c r="F59" s="280"/>
      <c r="G59" s="73">
        <f ca="1">SUM(G57:G58)</f>
        <v>6107000</v>
      </c>
      <c r="H59" s="74"/>
      <c r="I59" s="121">
        <f ca="1">I57+I58</f>
        <v>6107000</v>
      </c>
      <c r="J59" s="121">
        <f ca="1">I59-G59</f>
        <v>0</v>
      </c>
      <c r="K59" s="75"/>
      <c r="L59" s="75"/>
      <c r="M59" s="75"/>
      <c r="N59" s="75"/>
      <c r="O59" s="75"/>
    </row>
    <row r="60" spans="1:15" x14ac:dyDescent="0.25">
      <c r="A60" s="75"/>
      <c r="B60" s="75"/>
      <c r="C60" s="75"/>
      <c r="D60" s="77"/>
      <c r="E60" s="78"/>
      <c r="F60" s="281" t="str">
        <f ca="1">" TP. Hồ Chí Minh, ngày "&amp;DAY(NOW())&amp;" tháng "&amp;MONTH(NOW())&amp;" năm "&amp;YEAR(NOW())</f>
        <v xml:space="preserve"> TP. Hồ Chí Minh, ngày 10 tháng 6 năm 2020</v>
      </c>
      <c r="G60" s="281"/>
      <c r="H60" s="281"/>
      <c r="I60" s="81"/>
      <c r="J60" s="121"/>
      <c r="K60" s="121"/>
      <c r="L60" s="75"/>
      <c r="M60" s="75"/>
      <c r="N60" s="75"/>
      <c r="O60" s="75"/>
    </row>
    <row r="61" spans="1:15" x14ac:dyDescent="0.25">
      <c r="A61" s="282" t="s">
        <v>17</v>
      </c>
      <c r="B61" s="282"/>
      <c r="C61" s="282"/>
      <c r="D61" s="77"/>
      <c r="E61" s="78"/>
      <c r="F61" s="283" t="s">
        <v>16</v>
      </c>
      <c r="G61" s="283"/>
      <c r="H61" s="283"/>
      <c r="I61" s="81"/>
      <c r="J61" s="121"/>
      <c r="K61" s="75"/>
      <c r="L61" s="75"/>
      <c r="M61" s="75"/>
      <c r="N61" s="75"/>
      <c r="O61" s="75"/>
    </row>
    <row r="62" spans="1:15" x14ac:dyDescent="0.25">
      <c r="A62" s="75"/>
      <c r="B62" s="75"/>
      <c r="C62" s="75"/>
      <c r="D62" s="77"/>
      <c r="E62" s="78"/>
      <c r="F62" s="79"/>
      <c r="G62" s="80"/>
      <c r="H62" s="81"/>
    </row>
    <row r="63" spans="1:15" x14ac:dyDescent="0.25">
      <c r="A63" s="75"/>
      <c r="B63" s="75"/>
      <c r="C63" s="75"/>
      <c r="D63" s="77"/>
      <c r="E63" s="78"/>
      <c r="F63" s="79"/>
      <c r="G63" s="78"/>
      <c r="H63" s="75"/>
    </row>
    <row r="64" spans="1:15" x14ac:dyDescent="0.25">
      <c r="A64" s="75"/>
      <c r="B64" s="75"/>
      <c r="C64" s="75"/>
      <c r="D64" s="77"/>
      <c r="E64" s="78"/>
      <c r="F64" s="79"/>
      <c r="G64" s="82"/>
      <c r="H64" s="75"/>
    </row>
    <row r="65" spans="1:9" x14ac:dyDescent="0.25">
      <c r="A65" s="274" t="s">
        <v>151</v>
      </c>
      <c r="B65" s="274"/>
      <c r="C65" s="274"/>
      <c r="D65" s="77"/>
      <c r="E65" s="78"/>
      <c r="F65" s="275" t="s">
        <v>207</v>
      </c>
      <c r="G65" s="275"/>
      <c r="H65" s="275"/>
    </row>
    <row r="66" spans="1:9" ht="24.4" customHeight="1" x14ac:dyDescent="0.25">
      <c r="A66" s="1"/>
      <c r="I66"/>
    </row>
    <row r="67" spans="1:9" ht="28.15" customHeight="1" x14ac:dyDescent="0.25">
      <c r="A67" s="276"/>
      <c r="B67" s="276"/>
      <c r="D67"/>
      <c r="E67"/>
      <c r="F67"/>
      <c r="G67"/>
      <c r="I67"/>
    </row>
    <row r="68" spans="1:9" ht="24.4" customHeight="1" x14ac:dyDescent="0.25">
      <c r="D68"/>
      <c r="E68"/>
      <c r="F68"/>
      <c r="G68"/>
      <c r="I68"/>
    </row>
    <row r="69" spans="1:9" ht="30" customHeight="1" x14ac:dyDescent="0.25">
      <c r="I69"/>
    </row>
    <row r="70" spans="1:9" ht="28.15" customHeight="1" x14ac:dyDescent="0.25">
      <c r="I70"/>
    </row>
    <row r="71" spans="1:9" ht="24.4" customHeight="1" x14ac:dyDescent="0.25">
      <c r="I71"/>
    </row>
    <row r="72" spans="1:9" ht="27.75" customHeight="1" x14ac:dyDescent="0.25">
      <c r="I72"/>
    </row>
    <row r="73" spans="1:9" ht="28.15" customHeight="1" x14ac:dyDescent="0.25">
      <c r="I73"/>
    </row>
    <row r="74" spans="1:9" s="2" customFormat="1" ht="24.4" customHeight="1" x14ac:dyDescent="0.25">
      <c r="A74"/>
      <c r="B74"/>
      <c r="C74"/>
      <c r="D74" s="4"/>
      <c r="E74" s="3"/>
      <c r="F74" s="21"/>
      <c r="G74" s="3"/>
      <c r="H74"/>
    </row>
    <row r="75" spans="1:9" ht="30" customHeight="1" x14ac:dyDescent="0.25">
      <c r="I75"/>
    </row>
    <row r="76" spans="1:9" ht="28.15" customHeight="1" x14ac:dyDescent="0.25">
      <c r="I76"/>
    </row>
    <row r="77" spans="1:9" s="2" customFormat="1" ht="24.4" customHeight="1" x14ac:dyDescent="0.25">
      <c r="A77"/>
      <c r="B77"/>
      <c r="C77"/>
      <c r="D77" s="4"/>
      <c r="E77" s="3"/>
      <c r="F77" s="21"/>
      <c r="G77" s="3"/>
      <c r="H77"/>
    </row>
    <row r="78" spans="1:9" ht="30.2" customHeight="1" x14ac:dyDescent="0.25">
      <c r="I78"/>
    </row>
    <row r="79" spans="1:9" ht="28.15" customHeight="1" x14ac:dyDescent="0.25">
      <c r="I79"/>
    </row>
    <row r="80" spans="1:9" s="2" customFormat="1" ht="24.4" customHeight="1" x14ac:dyDescent="0.25">
      <c r="A80"/>
      <c r="B80"/>
      <c r="C80"/>
      <c r="D80" s="4"/>
      <c r="E80" s="3"/>
      <c r="F80" s="21"/>
      <c r="G80" s="3"/>
      <c r="H80"/>
    </row>
    <row r="81" spans="1:9" ht="30" customHeight="1" x14ac:dyDescent="0.25">
      <c r="I81"/>
    </row>
    <row r="82" spans="1:9" ht="28.15" customHeight="1" x14ac:dyDescent="0.25">
      <c r="I82"/>
    </row>
    <row r="83" spans="1:9" s="2" customFormat="1" ht="24.4" customHeight="1" x14ac:dyDescent="0.25">
      <c r="A83"/>
      <c r="B83"/>
      <c r="C83"/>
      <c r="D83" s="4"/>
      <c r="E83" s="3"/>
      <c r="F83" s="21"/>
      <c r="G83" s="3"/>
      <c r="H83"/>
    </row>
    <row r="84" spans="1:9" ht="30" customHeight="1" x14ac:dyDescent="0.25">
      <c r="I84"/>
    </row>
    <row r="85" spans="1:9" ht="28.15" customHeight="1" x14ac:dyDescent="0.25">
      <c r="I85"/>
    </row>
    <row r="86" spans="1:9" s="2" customFormat="1" ht="24.4" customHeight="1" x14ac:dyDescent="0.25">
      <c r="A86"/>
      <c r="B86"/>
      <c r="C86"/>
      <c r="D86" s="4"/>
      <c r="E86" s="3"/>
      <c r="F86" s="21"/>
      <c r="G86" s="3"/>
      <c r="H86"/>
    </row>
    <row r="87" spans="1:9" ht="30" customHeight="1" x14ac:dyDescent="0.25">
      <c r="I87"/>
    </row>
    <row r="88" spans="1:9" ht="28.15" customHeight="1" x14ac:dyDescent="0.25">
      <c r="I88"/>
    </row>
    <row r="89" spans="1:9" s="2" customFormat="1" ht="24.4" customHeight="1" x14ac:dyDescent="0.25">
      <c r="A89"/>
      <c r="B89"/>
      <c r="C89"/>
      <c r="D89" s="4"/>
      <c r="E89" s="3"/>
      <c r="F89" s="21"/>
      <c r="G89" s="3"/>
      <c r="H89"/>
    </row>
    <row r="90" spans="1:9" ht="30" customHeight="1" x14ac:dyDescent="0.25">
      <c r="I90"/>
    </row>
    <row r="91" spans="1:9" ht="28.15" customHeight="1" x14ac:dyDescent="0.25">
      <c r="I91"/>
    </row>
    <row r="92" spans="1:9" s="2" customFormat="1" ht="24.4" customHeight="1" x14ac:dyDescent="0.25">
      <c r="A92"/>
      <c r="B92"/>
      <c r="C92"/>
      <c r="D92" s="4"/>
      <c r="E92" s="3"/>
      <c r="F92" s="21"/>
      <c r="G92" s="3"/>
      <c r="H92"/>
    </row>
    <row r="93" spans="1:9" ht="30" customHeight="1" x14ac:dyDescent="0.25">
      <c r="I93"/>
    </row>
    <row r="94" spans="1:9" ht="28.15" customHeight="1" x14ac:dyDescent="0.25">
      <c r="I94"/>
    </row>
    <row r="95" spans="1:9" s="2" customFormat="1" ht="24.4" customHeight="1" x14ac:dyDescent="0.25">
      <c r="A95"/>
      <c r="B95"/>
      <c r="C95"/>
      <c r="D95" s="4"/>
      <c r="E95" s="3"/>
      <c r="F95" s="21"/>
      <c r="G95" s="3"/>
      <c r="H95"/>
    </row>
    <row r="96" spans="1:9" ht="27.75" customHeight="1" x14ac:dyDescent="0.25">
      <c r="I96"/>
    </row>
    <row r="97" spans="1:9" ht="28.15" customHeight="1" x14ac:dyDescent="0.25">
      <c r="I97"/>
    </row>
    <row r="98" spans="1:9" s="2" customFormat="1" ht="24.4" customHeight="1" x14ac:dyDescent="0.25">
      <c r="A98"/>
      <c r="B98"/>
      <c r="C98"/>
      <c r="D98" s="4"/>
      <c r="E98" s="3"/>
      <c r="F98" s="21"/>
      <c r="G98" s="3"/>
      <c r="H98"/>
    </row>
    <row r="99" spans="1:9" ht="30" customHeight="1" x14ac:dyDescent="0.25">
      <c r="I99"/>
    </row>
    <row r="100" spans="1:9" ht="28.15" customHeight="1" x14ac:dyDescent="0.25">
      <c r="I100"/>
    </row>
    <row r="101" spans="1:9" s="2" customFormat="1" ht="24.4" customHeight="1" x14ac:dyDescent="0.25">
      <c r="A101"/>
      <c r="B101"/>
      <c r="C101"/>
      <c r="D101" s="4"/>
      <c r="E101" s="3"/>
      <c r="F101" s="21"/>
      <c r="G101" s="3"/>
      <c r="H101"/>
    </row>
    <row r="102" spans="1:9" ht="30.2" customHeight="1" x14ac:dyDescent="0.25">
      <c r="I102"/>
    </row>
    <row r="103" spans="1:9" ht="28.15" customHeight="1" x14ac:dyDescent="0.25">
      <c r="I103"/>
    </row>
    <row r="104" spans="1:9" s="2" customFormat="1" ht="24.4" customHeight="1" x14ac:dyDescent="0.25">
      <c r="A104"/>
      <c r="B104"/>
      <c r="C104"/>
      <c r="D104" s="4"/>
      <c r="E104" s="3"/>
      <c r="F104" s="21"/>
      <c r="G104" s="3"/>
      <c r="H104"/>
    </row>
    <row r="105" spans="1:9" ht="30" customHeight="1" x14ac:dyDescent="0.25">
      <c r="I105"/>
    </row>
    <row r="106" spans="1:9" ht="28.15" customHeight="1" x14ac:dyDescent="0.25">
      <c r="I106"/>
    </row>
    <row r="107" spans="1:9" s="2" customFormat="1" ht="24.4" customHeight="1" x14ac:dyDescent="0.25">
      <c r="A107"/>
      <c r="B107"/>
      <c r="C107"/>
      <c r="D107" s="4"/>
      <c r="E107" s="3"/>
      <c r="F107" s="21"/>
      <c r="G107" s="3"/>
      <c r="H107"/>
    </row>
    <row r="108" spans="1:9" ht="30" customHeight="1" x14ac:dyDescent="0.25">
      <c r="I108"/>
    </row>
    <row r="109" spans="1:9" ht="28.15" customHeight="1" x14ac:dyDescent="0.25">
      <c r="I109"/>
    </row>
    <row r="110" spans="1:9" s="2" customFormat="1" ht="24.4" customHeight="1" x14ac:dyDescent="0.25">
      <c r="A110"/>
      <c r="B110"/>
      <c r="C110"/>
      <c r="D110" s="4"/>
      <c r="E110" s="3"/>
      <c r="F110" s="21"/>
      <c r="G110" s="3"/>
      <c r="H110"/>
    </row>
    <row r="111" spans="1:9" ht="30" customHeight="1" x14ac:dyDescent="0.25">
      <c r="I111"/>
    </row>
    <row r="112" spans="1:9" ht="28.15" customHeight="1" x14ac:dyDescent="0.25">
      <c r="I112"/>
    </row>
    <row r="113" spans="1:9" s="2" customFormat="1" ht="24.4" customHeight="1" x14ac:dyDescent="0.25">
      <c r="A113"/>
      <c r="B113"/>
      <c r="C113"/>
      <c r="D113" s="4"/>
      <c r="E113" s="3"/>
      <c r="F113" s="21"/>
      <c r="G113" s="3"/>
      <c r="H113"/>
    </row>
    <row r="114" spans="1:9" ht="30" customHeight="1" x14ac:dyDescent="0.25">
      <c r="I114"/>
    </row>
    <row r="115" spans="1:9" ht="28.15" customHeight="1" x14ac:dyDescent="0.25">
      <c r="I115"/>
    </row>
    <row r="116" spans="1:9" s="2" customFormat="1" ht="24.4" customHeight="1" x14ac:dyDescent="0.25">
      <c r="A116"/>
      <c r="B116"/>
      <c r="C116"/>
      <c r="D116" s="4"/>
      <c r="E116" s="3"/>
      <c r="F116" s="21"/>
      <c r="G116" s="3"/>
      <c r="H116"/>
    </row>
    <row r="117" spans="1:9" ht="30" customHeight="1" x14ac:dyDescent="0.25">
      <c r="I117"/>
    </row>
    <row r="118" spans="1:9" ht="28.15" customHeight="1" x14ac:dyDescent="0.25">
      <c r="I118"/>
    </row>
    <row r="119" spans="1:9" s="2" customFormat="1" ht="24.4" customHeight="1" x14ac:dyDescent="0.25">
      <c r="A119"/>
      <c r="B119"/>
      <c r="C119"/>
      <c r="D119" s="4"/>
      <c r="E119" s="3"/>
      <c r="F119" s="21"/>
      <c r="G119" s="3"/>
      <c r="H119"/>
    </row>
    <row r="120" spans="1:9" ht="27.75" customHeight="1" x14ac:dyDescent="0.25">
      <c r="I120"/>
    </row>
    <row r="121" spans="1:9" ht="28.15" customHeight="1" x14ac:dyDescent="0.25">
      <c r="I121"/>
    </row>
    <row r="122" spans="1:9" s="2" customFormat="1" ht="24.4" customHeight="1" x14ac:dyDescent="0.25">
      <c r="A122"/>
      <c r="B122"/>
      <c r="C122"/>
      <c r="D122" s="4"/>
      <c r="E122" s="3"/>
      <c r="F122" s="21"/>
      <c r="G122" s="3"/>
      <c r="H122"/>
    </row>
    <row r="123" spans="1:9" ht="30" customHeight="1" x14ac:dyDescent="0.25">
      <c r="I123"/>
    </row>
    <row r="124" spans="1:9" ht="28.15" customHeight="1" x14ac:dyDescent="0.25">
      <c r="I124"/>
    </row>
    <row r="125" spans="1:9" s="2" customFormat="1" ht="24.4" customHeight="1" x14ac:dyDescent="0.25">
      <c r="A125"/>
      <c r="B125"/>
      <c r="C125"/>
      <c r="D125" s="4"/>
      <c r="E125" s="3"/>
      <c r="F125" s="21"/>
      <c r="G125" s="3"/>
      <c r="H125"/>
    </row>
    <row r="126" spans="1:9" ht="30.2" customHeight="1" x14ac:dyDescent="0.25">
      <c r="I126"/>
    </row>
    <row r="127" spans="1:9" ht="28.15" customHeight="1" x14ac:dyDescent="0.25">
      <c r="I127"/>
    </row>
    <row r="128" spans="1:9" s="2" customFormat="1" ht="24.4" customHeight="1" x14ac:dyDescent="0.25">
      <c r="A128"/>
      <c r="B128"/>
      <c r="C128"/>
      <c r="D128" s="4"/>
      <c r="E128" s="3"/>
      <c r="F128" s="21"/>
      <c r="G128" s="3"/>
      <c r="H128"/>
    </row>
    <row r="129" spans="1:9" ht="30" customHeight="1" x14ac:dyDescent="0.25">
      <c r="I129"/>
    </row>
    <row r="130" spans="1:9" ht="28.15" customHeight="1" x14ac:dyDescent="0.25">
      <c r="I130"/>
    </row>
    <row r="131" spans="1:9" s="2" customFormat="1" ht="24.4" customHeight="1" x14ac:dyDescent="0.25">
      <c r="A131"/>
      <c r="B131"/>
      <c r="C131"/>
      <c r="D131" s="4"/>
      <c r="E131" s="3"/>
      <c r="F131" s="21"/>
      <c r="G131" s="3"/>
      <c r="H131"/>
    </row>
    <row r="132" spans="1:9" ht="30" customHeight="1" x14ac:dyDescent="0.25">
      <c r="I132"/>
    </row>
    <row r="133" spans="1:9" ht="28.15" customHeight="1" x14ac:dyDescent="0.25">
      <c r="I133"/>
    </row>
    <row r="134" spans="1:9" s="2" customFormat="1" ht="24.4" customHeight="1" x14ac:dyDescent="0.25">
      <c r="A134"/>
      <c r="B134"/>
      <c r="C134"/>
      <c r="D134" s="4"/>
      <c r="E134" s="3"/>
      <c r="F134" s="21"/>
      <c r="G134" s="3"/>
      <c r="H134"/>
    </row>
    <row r="135" spans="1:9" ht="30" customHeight="1" x14ac:dyDescent="0.25">
      <c r="I135"/>
    </row>
    <row r="136" spans="1:9" ht="28.15" customHeight="1" x14ac:dyDescent="0.25">
      <c r="I136"/>
    </row>
    <row r="137" spans="1:9" s="2" customFormat="1" ht="24.4" customHeight="1" x14ac:dyDescent="0.25">
      <c r="A137"/>
      <c r="B137"/>
      <c r="C137"/>
      <c r="D137" s="4"/>
      <c r="E137" s="3"/>
      <c r="F137" s="21"/>
      <c r="G137" s="3"/>
      <c r="H137"/>
    </row>
    <row r="138" spans="1:9" ht="30" customHeight="1" x14ac:dyDescent="0.25">
      <c r="I138"/>
    </row>
    <row r="139" spans="1:9" ht="28.15" customHeight="1" x14ac:dyDescent="0.25">
      <c r="I139"/>
    </row>
    <row r="140" spans="1:9" ht="24.4" customHeight="1" x14ac:dyDescent="0.25">
      <c r="I140"/>
    </row>
    <row r="141" spans="1:9" ht="30" customHeight="1" x14ac:dyDescent="0.25">
      <c r="I141"/>
    </row>
    <row r="142" spans="1:9" ht="28.15" customHeight="1" x14ac:dyDescent="0.25">
      <c r="I142"/>
    </row>
    <row r="143" spans="1:9" s="2" customFormat="1" ht="24.4" customHeight="1" x14ac:dyDescent="0.25">
      <c r="A143"/>
      <c r="B143"/>
      <c r="C143"/>
      <c r="D143" s="4"/>
      <c r="E143" s="3"/>
      <c r="F143" s="21"/>
      <c r="G143" s="3"/>
      <c r="H143"/>
    </row>
    <row r="144" spans="1:9" ht="27.75" customHeight="1" x14ac:dyDescent="0.25">
      <c r="I144"/>
    </row>
    <row r="145" spans="1:9" ht="28.15" customHeight="1" x14ac:dyDescent="0.25">
      <c r="I145"/>
    </row>
    <row r="146" spans="1:9" s="2" customFormat="1" ht="24.4" customHeight="1" x14ac:dyDescent="0.25">
      <c r="A146"/>
      <c r="B146"/>
      <c r="C146"/>
      <c r="D146" s="4"/>
      <c r="E146" s="3"/>
      <c r="F146" s="21"/>
      <c r="G146" s="3"/>
      <c r="H146"/>
    </row>
    <row r="147" spans="1:9" ht="30" customHeight="1" x14ac:dyDescent="0.25">
      <c r="I147"/>
    </row>
    <row r="148" spans="1:9" ht="28.15" customHeight="1" x14ac:dyDescent="0.25">
      <c r="I148"/>
    </row>
    <row r="149" spans="1:9" s="2" customFormat="1" ht="24.4" customHeight="1" x14ac:dyDescent="0.25">
      <c r="A149"/>
      <c r="B149"/>
      <c r="C149"/>
      <c r="D149" s="4"/>
      <c r="E149" s="3"/>
      <c r="F149" s="21"/>
      <c r="G149" s="3"/>
      <c r="H149"/>
    </row>
    <row r="150" spans="1:9" ht="30" customHeight="1" x14ac:dyDescent="0.25">
      <c r="I150"/>
    </row>
    <row r="151" spans="1:9" ht="28.15" customHeight="1" x14ac:dyDescent="0.25">
      <c r="I151"/>
    </row>
    <row r="152" spans="1:9" s="2" customFormat="1" ht="24.4" customHeight="1" x14ac:dyDescent="0.25">
      <c r="A152"/>
      <c r="B152"/>
      <c r="C152"/>
      <c r="D152" s="4"/>
      <c r="E152" s="3"/>
      <c r="F152" s="21"/>
      <c r="G152" s="3"/>
      <c r="H152"/>
    </row>
    <row r="153" spans="1:9" ht="30.6" customHeight="1" x14ac:dyDescent="0.25">
      <c r="I153"/>
    </row>
    <row r="154" spans="1:9" s="2" customFormat="1" ht="24.4" customHeight="1" x14ac:dyDescent="0.25">
      <c r="A154"/>
      <c r="B154"/>
      <c r="C154"/>
      <c r="D154" s="4"/>
      <c r="E154" s="3"/>
      <c r="F154" s="21"/>
      <c r="G154" s="3"/>
      <c r="H154"/>
    </row>
    <row r="155" spans="1:9" ht="30.4" customHeight="1" x14ac:dyDescent="0.25">
      <c r="I155"/>
    </row>
    <row r="156" spans="1:9" s="2" customFormat="1" ht="24.4" customHeight="1" x14ac:dyDescent="0.25">
      <c r="A156"/>
      <c r="B156"/>
      <c r="C156"/>
      <c r="D156" s="4"/>
      <c r="E156" s="3"/>
      <c r="F156" s="21"/>
      <c r="G156" s="3"/>
      <c r="H156"/>
    </row>
    <row r="157" spans="1:9" ht="30.4" customHeight="1" x14ac:dyDescent="0.25">
      <c r="I157"/>
    </row>
    <row r="158" spans="1:9" s="2" customFormat="1" ht="24.4" customHeight="1" x14ac:dyDescent="0.25">
      <c r="A158"/>
      <c r="B158"/>
      <c r="C158"/>
      <c r="D158" s="4"/>
      <c r="E158" s="3"/>
      <c r="F158" s="21"/>
      <c r="G158" s="3"/>
      <c r="H158"/>
    </row>
    <row r="159" spans="1:9" ht="30.4" customHeight="1" x14ac:dyDescent="0.25">
      <c r="I159"/>
    </row>
    <row r="160" spans="1:9" s="2" customFormat="1" ht="24.4" customHeight="1" x14ac:dyDescent="0.25">
      <c r="A160"/>
      <c r="B160"/>
      <c r="C160"/>
      <c r="D160" s="4"/>
      <c r="E160" s="3"/>
      <c r="F160" s="21"/>
      <c r="G160" s="3"/>
      <c r="H160"/>
    </row>
    <row r="161" spans="9:11" ht="30.4" customHeight="1" x14ac:dyDescent="0.25">
      <c r="I161"/>
    </row>
    <row r="164" spans="9:11" x14ac:dyDescent="0.25">
      <c r="J164" s="25"/>
    </row>
    <row r="166" spans="9:11" x14ac:dyDescent="0.25">
      <c r="J166" s="25"/>
      <c r="K166" s="25"/>
    </row>
    <row r="167" spans="9:11" x14ac:dyDescent="0.25">
      <c r="J167" s="25"/>
    </row>
  </sheetData>
  <mergeCells count="29">
    <mergeCell ref="A1:H1"/>
    <mergeCell ref="A2:H2"/>
    <mergeCell ref="D43:D44"/>
    <mergeCell ref="D46:D47"/>
    <mergeCell ref="D52:D53"/>
    <mergeCell ref="D13:D14"/>
    <mergeCell ref="D22:D23"/>
    <mergeCell ref="A4:H4"/>
    <mergeCell ref="D37:D38"/>
    <mergeCell ref="D40:D41"/>
    <mergeCell ref="D49:D50"/>
    <mergeCell ref="D31:D32"/>
    <mergeCell ref="D34:D35"/>
    <mergeCell ref="D16:D17"/>
    <mergeCell ref="D19:D20"/>
    <mergeCell ref="D28:D29"/>
    <mergeCell ref="A5:H5"/>
    <mergeCell ref="A67:B67"/>
    <mergeCell ref="D25:D26"/>
    <mergeCell ref="D10:D11"/>
    <mergeCell ref="A61:C61"/>
    <mergeCell ref="A57:F57"/>
    <mergeCell ref="A58:F58"/>
    <mergeCell ref="A59:F59"/>
    <mergeCell ref="F60:H60"/>
    <mergeCell ref="F61:H61"/>
    <mergeCell ref="A65:C65"/>
    <mergeCell ref="F65:H65"/>
    <mergeCell ref="D55:D56"/>
  </mergeCells>
  <phoneticPr fontId="0" type="noConversion"/>
  <pageMargins left="0.25" right="0.2" top="0.42" bottom="0.41" header="0.18" footer="0.19"/>
  <pageSetup paperSize="9" fitToHeight="0" orientation="portrait" r:id="rId1"/>
  <headerFooter alignWithMargins="0"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view="pageBreakPreview" zoomScale="115" zoomScaleNormal="100" zoomScaleSheetLayoutView="115" workbookViewId="0">
      <selection activeCell="F148" sqref="F148"/>
    </sheetView>
  </sheetViews>
  <sheetFormatPr defaultRowHeight="15" x14ac:dyDescent="0.25"/>
  <cols>
    <col min="1" max="1" width="19.28515625" customWidth="1"/>
    <col min="2" max="2" width="4" hidden="1" customWidth="1"/>
    <col min="3" max="3" width="0.42578125" customWidth="1"/>
    <col min="4" max="4" width="13.28515625" customWidth="1"/>
    <col min="5" max="5" width="12" customWidth="1"/>
    <col min="6" max="6" width="37.42578125" customWidth="1"/>
    <col min="7" max="7" width="13.140625" customWidth="1"/>
    <col min="8" max="8" width="11.5703125" bestFit="1" customWidth="1"/>
    <col min="9" max="9" width="13.42578125" bestFit="1" customWidth="1"/>
    <col min="10" max="10" width="11.42578125" bestFit="1" customWidth="1"/>
  </cols>
  <sheetData>
    <row r="1" spans="1:10" ht="15.75" x14ac:dyDescent="0.25">
      <c r="A1" s="284" t="s">
        <v>189</v>
      </c>
      <c r="B1" s="284"/>
      <c r="C1" s="284"/>
      <c r="D1" s="284"/>
      <c r="E1" s="284"/>
      <c r="F1" s="284"/>
      <c r="G1" s="284"/>
    </row>
    <row r="2" spans="1:10" ht="15.75" x14ac:dyDescent="0.25">
      <c r="A2" s="285" t="s">
        <v>190</v>
      </c>
      <c r="B2" s="285"/>
      <c r="C2" s="285"/>
      <c r="D2" s="285"/>
      <c r="E2" s="285"/>
      <c r="F2" s="285"/>
      <c r="G2" s="285"/>
    </row>
    <row r="3" spans="1:10" x14ac:dyDescent="0.25">
      <c r="D3" s="4"/>
      <c r="E3" s="21"/>
      <c r="F3" s="3"/>
    </row>
    <row r="4" spans="1:10" ht="16.5" x14ac:dyDescent="0.25">
      <c r="A4" s="286" t="str">
        <f>"BẢNG TỔNG HỢP ĐIỆN - NƯỚC SINH HOẠT KÝ TÚC XÁ KHU C " &amp; 'Khu K107-K211'!L1</f>
        <v>BẢNG TỔNG HỢP ĐIỆN - NƯỚC SINH HOẠT KÝ TÚC XÁ KHU C THÁNG 1-5/2019</v>
      </c>
      <c r="B4" s="286"/>
      <c r="C4" s="286"/>
      <c r="D4" s="286"/>
      <c r="E4" s="286"/>
      <c r="F4" s="286"/>
      <c r="G4" s="286"/>
    </row>
    <row r="5" spans="1:10" ht="6.75" customHeight="1" x14ac:dyDescent="0.25">
      <c r="A5" s="277"/>
      <c r="B5" s="277"/>
      <c r="C5" s="277"/>
      <c r="D5" s="277"/>
      <c r="E5" s="277"/>
      <c r="F5" s="277"/>
      <c r="G5" s="277"/>
    </row>
    <row r="6" spans="1:10" x14ac:dyDescent="0.25">
      <c r="A6" s="75"/>
      <c r="B6" s="75"/>
      <c r="C6" s="75"/>
      <c r="D6" s="77"/>
      <c r="E6" s="79"/>
      <c r="F6" s="114" t="s">
        <v>357</v>
      </c>
      <c r="G6" s="114"/>
    </row>
    <row r="7" spans="1:10" x14ac:dyDescent="0.25">
      <c r="A7" s="75"/>
      <c r="B7" s="75"/>
      <c r="C7" s="75"/>
      <c r="D7" s="77"/>
      <c r="E7" s="79"/>
      <c r="F7" s="114" t="s">
        <v>362</v>
      </c>
      <c r="G7" s="114"/>
    </row>
    <row r="8" spans="1:10" ht="24.7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9" t="s">
        <v>27</v>
      </c>
      <c r="F8" s="47" t="s">
        <v>28</v>
      </c>
      <c r="G8" s="47" t="s">
        <v>18</v>
      </c>
    </row>
    <row r="9" spans="1:10" ht="17.25" x14ac:dyDescent="0.3">
      <c r="A9" s="124" t="s">
        <v>224</v>
      </c>
      <c r="B9" s="139"/>
      <c r="C9" s="139"/>
      <c r="D9" s="139"/>
      <c r="E9" s="141"/>
      <c r="F9" s="139"/>
      <c r="G9" s="127">
        <f>SUM(F10:F11)</f>
        <v>521200</v>
      </c>
    </row>
    <row r="10" spans="1:10" ht="16.5" x14ac:dyDescent="0.25">
      <c r="A10" s="5" t="s">
        <v>6</v>
      </c>
      <c r="B10" s="5">
        <v>360</v>
      </c>
      <c r="C10" s="5">
        <v>440</v>
      </c>
      <c r="D10" s="291">
        <f>VLOOKUP(RIGHT(LEFT(A9,11),4),'so nguoi'!$A$8:$N$21,2,0)</f>
        <v>7</v>
      </c>
      <c r="E10" s="17">
        <f>'Khu C'!F10/2</f>
        <v>106</v>
      </c>
      <c r="F10" s="109">
        <f>IF(A10="điện",E10*2500,E10*15000)</f>
        <v>265000</v>
      </c>
      <c r="G10" s="115"/>
      <c r="H10" s="25">
        <f>F10*2</f>
        <v>530000</v>
      </c>
      <c r="I10">
        <f>'Khu C'!G10</f>
        <v>614800</v>
      </c>
    </row>
    <row r="11" spans="1:10" ht="16.5" x14ac:dyDescent="0.25">
      <c r="A11" s="7" t="s">
        <v>7</v>
      </c>
      <c r="B11" s="7">
        <v>224</v>
      </c>
      <c r="C11" s="7">
        <v>224</v>
      </c>
      <c r="D11" s="292"/>
      <c r="E11" s="195">
        <f>'Khu C'!F11/2</f>
        <v>14.233333333333333</v>
      </c>
      <c r="F11" s="109">
        <f>IF(A11="điện",E11*2500,E11*18000)</f>
        <v>256199.99999999997</v>
      </c>
      <c r="G11" s="116"/>
      <c r="H11" s="25">
        <f t="shared" ref="H11:H74" si="0">F11*2</f>
        <v>512399.99999999994</v>
      </c>
      <c r="I11" s="191">
        <f>'Khu C'!G11</f>
        <v>512399.99999999994</v>
      </c>
    </row>
    <row r="12" spans="1:10" ht="17.25" x14ac:dyDescent="0.3">
      <c r="A12" s="124" t="s">
        <v>225</v>
      </c>
      <c r="B12" s="139"/>
      <c r="C12" s="139"/>
      <c r="D12" s="139"/>
      <c r="E12" s="195"/>
      <c r="F12" s="139"/>
      <c r="G12" s="127">
        <f>SUM(F13:F14)</f>
        <v>461550</v>
      </c>
      <c r="H12" s="25">
        <f t="shared" si="0"/>
        <v>0</v>
      </c>
      <c r="I12" s="191">
        <f>'Khu C'!G12</f>
        <v>0</v>
      </c>
    </row>
    <row r="13" spans="1:10" ht="16.5" x14ac:dyDescent="0.25">
      <c r="A13" s="5" t="s">
        <v>6</v>
      </c>
      <c r="B13" s="5">
        <v>240</v>
      </c>
      <c r="C13" s="5">
        <v>240</v>
      </c>
      <c r="D13" s="291">
        <f>VLOOKUP(RIGHT(LEFT(A12,11),4),'so nguoi'!$A$8:$B$21,2,0)</f>
        <v>8</v>
      </c>
      <c r="E13" s="195">
        <f>'Khu C'!F13/2</f>
        <v>67.5</v>
      </c>
      <c r="F13" s="109">
        <f>IF(A13="điện",E13*2500,E13*15000)</f>
        <v>168750</v>
      </c>
      <c r="G13" s="115"/>
      <c r="H13" s="25">
        <f t="shared" si="0"/>
        <v>337500</v>
      </c>
      <c r="I13" s="191">
        <f>'Khu C'!G13</f>
        <v>391500</v>
      </c>
    </row>
    <row r="14" spans="1:10" ht="16.5" x14ac:dyDescent="0.25">
      <c r="A14" s="7" t="s">
        <v>7</v>
      </c>
      <c r="B14" s="7">
        <v>224</v>
      </c>
      <c r="C14" s="7">
        <v>224</v>
      </c>
      <c r="D14" s="292"/>
      <c r="E14" s="195">
        <f>'Khu C'!F14/2</f>
        <v>16.266666666666666</v>
      </c>
      <c r="F14" s="109">
        <f>IF(A14="điện",E14*2500,E14*18000)</f>
        <v>292800</v>
      </c>
      <c r="G14" s="116"/>
      <c r="H14" s="25">
        <f t="shared" si="0"/>
        <v>585600</v>
      </c>
      <c r="I14" s="191">
        <f>'Khu C'!G14</f>
        <v>585600</v>
      </c>
      <c r="J14" s="25">
        <f>I14-H14</f>
        <v>0</v>
      </c>
    </row>
    <row r="15" spans="1:10" ht="17.25" x14ac:dyDescent="0.3">
      <c r="A15" s="124" t="s">
        <v>226</v>
      </c>
      <c r="B15" s="139"/>
      <c r="C15" s="139"/>
      <c r="D15" s="139"/>
      <c r="E15" s="195"/>
      <c r="F15" s="139"/>
      <c r="G15" s="127">
        <f>SUM(F16:F17)</f>
        <v>376500</v>
      </c>
      <c r="H15" s="25">
        <f t="shared" si="0"/>
        <v>0</v>
      </c>
      <c r="I15" s="191">
        <f>'Khu C'!G15</f>
        <v>0</v>
      </c>
      <c r="J15" s="25">
        <f t="shared" ref="J15:J78" si="1">I15-H15</f>
        <v>0</v>
      </c>
    </row>
    <row r="16" spans="1:10" ht="16.5" x14ac:dyDescent="0.25">
      <c r="A16" s="5" t="s">
        <v>6</v>
      </c>
      <c r="B16" s="5">
        <v>148</v>
      </c>
      <c r="C16" s="5">
        <v>148</v>
      </c>
      <c r="D16" s="291">
        <f>VLOOKUP(RIGHT(LEFT(A15,11),4),'so nguoi'!$A$8:$B$21,2,0)</f>
        <v>6</v>
      </c>
      <c r="E16" s="195">
        <f>'Khu C'!F16/2</f>
        <v>75</v>
      </c>
      <c r="F16" s="109">
        <f>IF(A16="điện",E16*2500,E16*15000)</f>
        <v>187500</v>
      </c>
      <c r="G16" s="115"/>
      <c r="H16" s="25">
        <f t="shared" si="0"/>
        <v>375000</v>
      </c>
      <c r="I16" s="191">
        <f>'Khu C'!G16</f>
        <v>435000</v>
      </c>
      <c r="J16" s="25">
        <f t="shared" si="1"/>
        <v>60000</v>
      </c>
    </row>
    <row r="17" spans="1:10" ht="16.5" x14ac:dyDescent="0.25">
      <c r="A17" s="7" t="s">
        <v>7</v>
      </c>
      <c r="B17" s="7">
        <v>34</v>
      </c>
      <c r="C17" s="7">
        <v>34</v>
      </c>
      <c r="D17" s="292"/>
      <c r="E17" s="195">
        <f>'Khu C'!F17/2</f>
        <v>10.5</v>
      </c>
      <c r="F17" s="109">
        <f>IF(A17="điện",E17*2500,E17*18000)</f>
        <v>189000</v>
      </c>
      <c r="G17" s="116"/>
      <c r="H17" s="25">
        <f t="shared" si="0"/>
        <v>378000</v>
      </c>
      <c r="I17" s="191">
        <f>'Khu C'!G17</f>
        <v>378000</v>
      </c>
      <c r="J17" s="25">
        <f t="shared" si="1"/>
        <v>0</v>
      </c>
    </row>
    <row r="18" spans="1:10" ht="17.25" x14ac:dyDescent="0.3">
      <c r="A18" s="124" t="s">
        <v>227</v>
      </c>
      <c r="B18" s="139"/>
      <c r="C18" s="139"/>
      <c r="D18" s="139"/>
      <c r="E18" s="195"/>
      <c r="F18" s="139"/>
      <c r="G18" s="207">
        <f>IF(D19=0,0,IF(D22=0,SUM(F19:F20)+F22,SUM(F19:F20)))</f>
        <v>422250</v>
      </c>
      <c r="H18" s="25">
        <f t="shared" si="0"/>
        <v>0</v>
      </c>
      <c r="I18" s="191">
        <f>'Khu C'!G18</f>
        <v>0</v>
      </c>
      <c r="J18" s="25">
        <f t="shared" si="1"/>
        <v>0</v>
      </c>
    </row>
    <row r="19" spans="1:10" ht="16.5" x14ac:dyDescent="0.25">
      <c r="A19" s="5" t="s">
        <v>6</v>
      </c>
      <c r="B19" s="5">
        <v>473</v>
      </c>
      <c r="C19" s="5">
        <v>565</v>
      </c>
      <c r="D19" s="291">
        <f>VLOOKUP(RIGHT(LEFT(A18,11),4),'so nguoi'!$A$8:$B$21,2,0)</f>
        <v>7</v>
      </c>
      <c r="E19" s="195">
        <f>'Khu C'!F19/2</f>
        <v>100.5</v>
      </c>
      <c r="F19" s="109">
        <f>IF(A19="điện",E19*2500,E19*15000)</f>
        <v>251250</v>
      </c>
      <c r="G19" s="115"/>
      <c r="H19" s="25">
        <f t="shared" si="0"/>
        <v>502500</v>
      </c>
      <c r="I19" s="191">
        <f>'Khu C'!G19</f>
        <v>582900</v>
      </c>
      <c r="J19" s="25">
        <f t="shared" si="1"/>
        <v>80400</v>
      </c>
    </row>
    <row r="20" spans="1:10" ht="16.5" x14ac:dyDescent="0.25">
      <c r="A20" s="7" t="s">
        <v>7</v>
      </c>
      <c r="B20" s="7">
        <v>226</v>
      </c>
      <c r="C20" s="7">
        <v>258</v>
      </c>
      <c r="D20" s="292"/>
      <c r="E20" s="195">
        <f>'Khu C'!F20/2</f>
        <v>9.5</v>
      </c>
      <c r="F20" s="109">
        <f>IF(A20="điện",E20*2500,E20*18000)</f>
        <v>171000</v>
      </c>
      <c r="G20" s="116"/>
      <c r="H20" s="25">
        <f t="shared" si="0"/>
        <v>342000</v>
      </c>
      <c r="I20" s="191">
        <f>'Khu C'!G20</f>
        <v>342000</v>
      </c>
      <c r="J20" s="25">
        <f t="shared" si="1"/>
        <v>0</v>
      </c>
    </row>
    <row r="21" spans="1:10" ht="17.25" x14ac:dyDescent="0.3">
      <c r="A21" s="124" t="s">
        <v>228</v>
      </c>
      <c r="B21" s="139"/>
      <c r="C21" s="139"/>
      <c r="D21" s="139"/>
      <c r="E21" s="195"/>
      <c r="F21" s="139" t="s">
        <v>360</v>
      </c>
      <c r="G21" s="207">
        <f>IF(D22=0,0,IF(D19=0,SUM(F22:F23)+F19,SUM(F22:F23)))</f>
        <v>0</v>
      </c>
      <c r="H21" s="25" t="e">
        <f t="shared" si="0"/>
        <v>#VALUE!</v>
      </c>
      <c r="I21" s="191">
        <f>'Khu C'!G21</f>
        <v>0</v>
      </c>
      <c r="J21" s="25" t="e">
        <f t="shared" si="1"/>
        <v>#VALUE!</v>
      </c>
    </row>
    <row r="22" spans="1:10" ht="16.5" x14ac:dyDescent="0.25">
      <c r="A22" s="5" t="s">
        <v>6</v>
      </c>
      <c r="B22" s="5">
        <v>506</v>
      </c>
      <c r="C22" s="5">
        <v>631</v>
      </c>
      <c r="D22" s="291">
        <f>VLOOKUP(RIGHT(LEFT(A21,11),4),'so nguoi'!$A$8:$B$21,2,0)</f>
        <v>0</v>
      </c>
      <c r="E22" s="195">
        <f>'Khu C'!F22/2</f>
        <v>0</v>
      </c>
      <c r="F22" s="109">
        <f>IF(A22="điện",E22*2500,E22*15000)</f>
        <v>0</v>
      </c>
      <c r="G22" s="115"/>
      <c r="H22" s="25">
        <f t="shared" si="0"/>
        <v>0</v>
      </c>
      <c r="I22" s="191">
        <f>'Khu C'!G22</f>
        <v>0</v>
      </c>
      <c r="J22" s="25">
        <f t="shared" si="1"/>
        <v>0</v>
      </c>
    </row>
    <row r="23" spans="1:10" ht="16.5" x14ac:dyDescent="0.25">
      <c r="A23" s="7" t="s">
        <v>7</v>
      </c>
      <c r="B23" s="7">
        <f>B20</f>
        <v>226</v>
      </c>
      <c r="C23" s="7">
        <f>C20</f>
        <v>258</v>
      </c>
      <c r="D23" s="292"/>
      <c r="E23" s="195">
        <f>'Khu C'!F23/2</f>
        <v>0</v>
      </c>
      <c r="F23" s="109">
        <f>IF(A23="điện",E23*2500,E23*15000)</f>
        <v>0</v>
      </c>
      <c r="G23" s="116"/>
      <c r="H23" s="25">
        <f t="shared" si="0"/>
        <v>0</v>
      </c>
      <c r="I23" s="191">
        <f>'Khu C'!G23</f>
        <v>0</v>
      </c>
      <c r="J23" s="25">
        <f t="shared" si="1"/>
        <v>0</v>
      </c>
    </row>
    <row r="24" spans="1:10" ht="17.25" x14ac:dyDescent="0.3">
      <c r="A24" s="124" t="s">
        <v>229</v>
      </c>
      <c r="B24" s="139"/>
      <c r="C24" s="139"/>
      <c r="D24" s="139"/>
      <c r="E24" s="195"/>
      <c r="F24" s="139"/>
      <c r="G24" s="207">
        <f>IF(D25=0,0,IF(D28=0,SUM(F25:F26)+F28,SUM(F25:F26)))</f>
        <v>438000</v>
      </c>
      <c r="H24" s="25">
        <f t="shared" si="0"/>
        <v>0</v>
      </c>
      <c r="I24" s="191">
        <f>'Khu C'!G24</f>
        <v>0</v>
      </c>
      <c r="J24" s="25">
        <f t="shared" si="1"/>
        <v>0</v>
      </c>
    </row>
    <row r="25" spans="1:10" ht="16.5" x14ac:dyDescent="0.25">
      <c r="A25" s="5" t="s">
        <v>6</v>
      </c>
      <c r="B25" s="5">
        <v>706</v>
      </c>
      <c r="C25" s="5">
        <v>881</v>
      </c>
      <c r="D25" s="291">
        <f>VLOOKUP(RIGHT(LEFT(A24,11),4),'so nguoi'!$A$8:$B$21,2,0)</f>
        <v>7</v>
      </c>
      <c r="E25" s="195">
        <f>'Khu C'!F25/2</f>
        <v>66</v>
      </c>
      <c r="F25" s="109">
        <f>IF(A25="điện",E25*2500,E25*15000)</f>
        <v>165000</v>
      </c>
      <c r="G25" s="115"/>
      <c r="H25" s="25">
        <f t="shared" si="0"/>
        <v>330000</v>
      </c>
      <c r="I25" s="191">
        <f>'Khu C'!G25</f>
        <v>382800</v>
      </c>
      <c r="J25" s="25">
        <f t="shared" si="1"/>
        <v>52800</v>
      </c>
    </row>
    <row r="26" spans="1:10" ht="16.5" x14ac:dyDescent="0.25">
      <c r="A26" s="7" t="s">
        <v>7</v>
      </c>
      <c r="B26" s="7">
        <v>270</v>
      </c>
      <c r="C26" s="7">
        <v>300</v>
      </c>
      <c r="D26" s="292"/>
      <c r="E26" s="195">
        <f>'Khu C'!F26/2</f>
        <v>15.166666666666666</v>
      </c>
      <c r="F26" s="109">
        <f>IF(A26="điện",E26*2500,E26*18000)</f>
        <v>273000</v>
      </c>
      <c r="G26" s="116"/>
      <c r="H26" s="25">
        <f t="shared" si="0"/>
        <v>546000</v>
      </c>
      <c r="I26" s="191">
        <f>'Khu C'!G26</f>
        <v>546000</v>
      </c>
      <c r="J26" s="25">
        <f t="shared" si="1"/>
        <v>0</v>
      </c>
    </row>
    <row r="27" spans="1:10" ht="17.25" x14ac:dyDescent="0.3">
      <c r="A27" s="124" t="s">
        <v>230</v>
      </c>
      <c r="B27" s="139"/>
      <c r="C27" s="139"/>
      <c r="D27" s="139"/>
      <c r="E27" s="195"/>
      <c r="F27" s="139"/>
      <c r="G27" s="207">
        <f>IF(D28=0,0,IF(D25=0,SUM(F28:F29)+F25,SUM(F28:F29)))</f>
        <v>538250</v>
      </c>
      <c r="H27" s="25">
        <f t="shared" si="0"/>
        <v>0</v>
      </c>
      <c r="I27" s="191">
        <f>'Khu C'!G27</f>
        <v>0</v>
      </c>
      <c r="J27" s="25">
        <f t="shared" si="1"/>
        <v>0</v>
      </c>
    </row>
    <row r="28" spans="1:10" ht="16.5" x14ac:dyDescent="0.25">
      <c r="A28" s="7" t="s">
        <v>6</v>
      </c>
      <c r="B28" s="7">
        <v>518</v>
      </c>
      <c r="C28" s="7">
        <v>597</v>
      </c>
      <c r="D28" s="291">
        <f>VLOOKUP(RIGHT(LEFT(A27,11),4),'so nguoi'!$A$8:$B$21,2,0)</f>
        <v>8</v>
      </c>
      <c r="E28" s="195">
        <f>'Khu C'!F28/2</f>
        <v>90.5</v>
      </c>
      <c r="F28" s="109">
        <f>IF(A28="điện",E28*2500,E28*15000)</f>
        <v>226250</v>
      </c>
      <c r="G28" s="117"/>
      <c r="H28" s="25">
        <f t="shared" si="0"/>
        <v>452500</v>
      </c>
      <c r="I28" s="191">
        <f>'Khu C'!G28</f>
        <v>524900</v>
      </c>
      <c r="J28" s="25">
        <f t="shared" si="1"/>
        <v>72400</v>
      </c>
    </row>
    <row r="29" spans="1:10" ht="16.5" x14ac:dyDescent="0.25">
      <c r="A29" s="7" t="s">
        <v>7</v>
      </c>
      <c r="B29" s="7">
        <f>B26</f>
        <v>270</v>
      </c>
      <c r="C29" s="7">
        <f>C26</f>
        <v>300</v>
      </c>
      <c r="D29" s="292"/>
      <c r="E29" s="195">
        <f>'Khu C'!F29/2</f>
        <v>17.333333333333332</v>
      </c>
      <c r="F29" s="109">
        <f>IF(A29="điện",E29*2500,E29*18000)</f>
        <v>312000</v>
      </c>
      <c r="G29" s="116"/>
      <c r="H29" s="25">
        <f t="shared" si="0"/>
        <v>624000</v>
      </c>
      <c r="I29" s="191">
        <f>'Khu C'!G29</f>
        <v>624000</v>
      </c>
      <c r="J29" s="25">
        <f t="shared" si="1"/>
        <v>0</v>
      </c>
    </row>
    <row r="30" spans="1:10" ht="17.25" x14ac:dyDescent="0.3">
      <c r="A30" s="124" t="s">
        <v>231</v>
      </c>
      <c r="B30" s="139"/>
      <c r="C30" s="139"/>
      <c r="D30" s="139"/>
      <c r="E30" s="195"/>
      <c r="F30" s="139"/>
      <c r="G30" s="127">
        <f>SUM(F31:F32)</f>
        <v>450000</v>
      </c>
      <c r="H30" s="25">
        <f t="shared" si="0"/>
        <v>0</v>
      </c>
      <c r="I30" s="191">
        <f>'Khu C'!G30</f>
        <v>0</v>
      </c>
      <c r="J30" s="25">
        <f t="shared" si="1"/>
        <v>0</v>
      </c>
    </row>
    <row r="31" spans="1:10" ht="16.5" x14ac:dyDescent="0.25">
      <c r="A31" s="55" t="s">
        <v>6</v>
      </c>
      <c r="B31" s="179">
        <v>9276</v>
      </c>
      <c r="C31" s="179">
        <v>9426</v>
      </c>
      <c r="D31" s="293">
        <f>VLOOKUP(RIGHT(LEFT(A30,11),4),'so nguoi'!$A$8:$B$21,2,0)</f>
        <v>8</v>
      </c>
      <c r="E31" s="195">
        <f>'Khu C'!F31/2</f>
        <v>78</v>
      </c>
      <c r="F31" s="109">
        <f>IF(A31="điện",E31*2500,E31*15000)</f>
        <v>195000</v>
      </c>
      <c r="G31" s="166"/>
      <c r="H31" s="25">
        <f t="shared" si="0"/>
        <v>390000</v>
      </c>
      <c r="I31" s="191">
        <f>'Khu C'!G31</f>
        <v>452400</v>
      </c>
      <c r="J31" s="25">
        <f t="shared" si="1"/>
        <v>62400</v>
      </c>
    </row>
    <row r="32" spans="1:10" ht="16.5" x14ac:dyDescent="0.25">
      <c r="A32" s="55" t="s">
        <v>7</v>
      </c>
      <c r="B32" s="55">
        <v>677</v>
      </c>
      <c r="C32" s="55">
        <v>692</v>
      </c>
      <c r="D32" s="294"/>
      <c r="E32" s="195">
        <f>'Khu C'!F32/2</f>
        <v>17</v>
      </c>
      <c r="F32" s="109">
        <f>IF(A32="điện",E32*2500,E32*15000)</f>
        <v>255000</v>
      </c>
      <c r="G32" s="158"/>
      <c r="H32" s="25">
        <f t="shared" si="0"/>
        <v>510000</v>
      </c>
      <c r="I32" s="191">
        <f>'Khu C'!G32</f>
        <v>612000</v>
      </c>
      <c r="J32" s="25">
        <f t="shared" si="1"/>
        <v>102000</v>
      </c>
    </row>
    <row r="33" spans="1:10" ht="17.25" x14ac:dyDescent="0.3">
      <c r="A33" s="124" t="s">
        <v>232</v>
      </c>
      <c r="B33" s="139"/>
      <c r="C33" s="139"/>
      <c r="D33" s="139"/>
      <c r="E33" s="195"/>
      <c r="F33" s="139"/>
      <c r="G33" s="207">
        <f>IF(D34=0,0,IF(D37=0,SUM(F34:F35)+F37,SUM(F34:F35)))</f>
        <v>562750</v>
      </c>
      <c r="H33" s="25">
        <f t="shared" si="0"/>
        <v>0</v>
      </c>
      <c r="I33" s="191">
        <f>'Khu C'!G33</f>
        <v>0</v>
      </c>
      <c r="J33" s="25">
        <f t="shared" si="1"/>
        <v>0</v>
      </c>
    </row>
    <row r="34" spans="1:10" ht="16.5" x14ac:dyDescent="0.25">
      <c r="A34" s="5" t="s">
        <v>6</v>
      </c>
      <c r="B34" s="5">
        <v>459</v>
      </c>
      <c r="C34" s="5">
        <v>512</v>
      </c>
      <c r="D34" s="291">
        <f>VLOOKUP(RIGHT(LEFT(A33,11),4),'so nguoi'!$A$8:$B$21,2,0)</f>
        <v>8</v>
      </c>
      <c r="E34" s="195">
        <f>'Khu C'!F34/2</f>
        <v>103.5</v>
      </c>
      <c r="F34" s="109">
        <f>IF(A34="điện",E34*2500,E34*15000)</f>
        <v>258750</v>
      </c>
      <c r="G34" s="115"/>
      <c r="H34" s="25">
        <f t="shared" si="0"/>
        <v>517500</v>
      </c>
      <c r="I34" s="191">
        <f>'Khu C'!G34</f>
        <v>600300</v>
      </c>
      <c r="J34" s="25">
        <f t="shared" si="1"/>
        <v>82800</v>
      </c>
    </row>
    <row r="35" spans="1:10" ht="16.5" x14ac:dyDescent="0.25">
      <c r="A35" s="7" t="s">
        <v>7</v>
      </c>
      <c r="B35" s="7">
        <v>222</v>
      </c>
      <c r="C35" s="7">
        <v>245</v>
      </c>
      <c r="D35" s="292"/>
      <c r="E35" s="195">
        <f>'Khu C'!F35/2</f>
        <v>20.266666666666666</v>
      </c>
      <c r="F35" s="109">
        <f>IF(A35="điện",E35*2500,E35*15000)</f>
        <v>304000</v>
      </c>
      <c r="G35" s="116"/>
      <c r="H35" s="25">
        <f t="shared" si="0"/>
        <v>608000</v>
      </c>
      <c r="I35" s="191">
        <f>'Khu C'!G35</f>
        <v>729600</v>
      </c>
      <c r="J35" s="25">
        <f t="shared" si="1"/>
        <v>121600</v>
      </c>
    </row>
    <row r="36" spans="1:10" ht="17.25" x14ac:dyDescent="0.3">
      <c r="A36" s="124" t="s">
        <v>233</v>
      </c>
      <c r="B36" s="139"/>
      <c r="C36" s="139"/>
      <c r="D36" s="139"/>
      <c r="E36" s="195"/>
      <c r="F36" s="139"/>
      <c r="G36" s="207">
        <f>IF(D37=0,0,IF(D34=0,SUM(F37:F38)+F34,SUM(F37:F38)))</f>
        <v>545450</v>
      </c>
      <c r="H36" s="25">
        <f t="shared" si="0"/>
        <v>0</v>
      </c>
      <c r="I36" s="191">
        <f>'Khu C'!G36</f>
        <v>0</v>
      </c>
      <c r="J36" s="25">
        <f t="shared" si="1"/>
        <v>0</v>
      </c>
    </row>
    <row r="37" spans="1:10" ht="16.5" x14ac:dyDescent="0.25">
      <c r="A37" s="5" t="s">
        <v>6</v>
      </c>
      <c r="B37" s="5">
        <v>564</v>
      </c>
      <c r="C37" s="5">
        <v>682</v>
      </c>
      <c r="D37" s="291">
        <f>VLOOKUP(RIGHT(LEFT(A36,11),4),'so nguoi'!$A$8:$B$21,2,0)</f>
        <v>7</v>
      </c>
      <c r="E37" s="195">
        <f>'Khu C'!F37/2</f>
        <v>90.5</v>
      </c>
      <c r="F37" s="109">
        <f>IF(A37="điện",E37*2500,E37*15000)</f>
        <v>226250</v>
      </c>
      <c r="G37" s="115"/>
      <c r="H37" s="25">
        <f t="shared" si="0"/>
        <v>452500</v>
      </c>
      <c r="I37" s="191">
        <f>'Khu C'!G37</f>
        <v>524900</v>
      </c>
      <c r="J37" s="25">
        <f t="shared" si="1"/>
        <v>72400</v>
      </c>
    </row>
    <row r="38" spans="1:10" ht="16.5" x14ac:dyDescent="0.25">
      <c r="A38" s="7" t="s">
        <v>7</v>
      </c>
      <c r="B38" s="7">
        <f>B35</f>
        <v>222</v>
      </c>
      <c r="C38" s="7">
        <f>C35</f>
        <v>245</v>
      </c>
      <c r="D38" s="292"/>
      <c r="E38" s="195">
        <f>'Khu C'!F38/2</f>
        <v>17.733333333333334</v>
      </c>
      <c r="F38" s="109">
        <f>IF(A38="điện",E38*2500,E38*18000)</f>
        <v>319200</v>
      </c>
      <c r="G38" s="116"/>
      <c r="H38" s="25">
        <f t="shared" si="0"/>
        <v>638400</v>
      </c>
      <c r="I38" s="191">
        <f>'Khu C'!G38</f>
        <v>638400</v>
      </c>
      <c r="J38" s="25">
        <f t="shared" si="1"/>
        <v>0</v>
      </c>
    </row>
    <row r="39" spans="1:10" ht="17.25" x14ac:dyDescent="0.3">
      <c r="A39" s="124" t="s">
        <v>234</v>
      </c>
      <c r="B39" s="139"/>
      <c r="C39" s="139"/>
      <c r="D39" s="139"/>
      <c r="E39" s="195"/>
      <c r="F39" s="139"/>
      <c r="G39" s="207">
        <f>IF(D40=0,0,IF(D43=0,SUM(F40:F41)+F43,SUM(F40:F41)))</f>
        <v>157750</v>
      </c>
      <c r="H39" s="25">
        <f t="shared" si="0"/>
        <v>0</v>
      </c>
      <c r="I39" s="191">
        <f>'Khu C'!G39</f>
        <v>0</v>
      </c>
      <c r="J39" s="25">
        <f t="shared" si="1"/>
        <v>0</v>
      </c>
    </row>
    <row r="40" spans="1:10" ht="16.5" x14ac:dyDescent="0.25">
      <c r="A40" s="5" t="s">
        <v>6</v>
      </c>
      <c r="B40" s="5">
        <v>4843</v>
      </c>
      <c r="C40" s="5">
        <v>5009</v>
      </c>
      <c r="D40" s="291">
        <f>VLOOKUP(RIGHT(LEFT(A39,11),4),'so nguoi'!$A$8:$B$21,2,0)</f>
        <v>8</v>
      </c>
      <c r="E40" s="195">
        <f>'Khu C'!F40/2</f>
        <v>14.5</v>
      </c>
      <c r="F40" s="109">
        <f>IF(A40="điện",E40*2500,E40*15000)</f>
        <v>36250</v>
      </c>
      <c r="G40" s="115"/>
      <c r="H40" s="25">
        <f t="shared" si="0"/>
        <v>72500</v>
      </c>
      <c r="I40" s="191">
        <f>'Khu C'!G40</f>
        <v>84100</v>
      </c>
      <c r="J40" s="25">
        <f t="shared" si="1"/>
        <v>11600</v>
      </c>
    </row>
    <row r="41" spans="1:10" ht="16.5" x14ac:dyDescent="0.25">
      <c r="A41" s="7" t="s">
        <v>7</v>
      </c>
      <c r="B41" s="7">
        <v>253</v>
      </c>
      <c r="C41" s="7">
        <v>306</v>
      </c>
      <c r="D41" s="292"/>
      <c r="E41" s="195">
        <f>'Khu C'!F41/2</f>
        <v>6.75</v>
      </c>
      <c r="F41" s="109">
        <f>IF(A41="điện",E41*2500,E41*18000)</f>
        <v>121500</v>
      </c>
      <c r="G41" s="116"/>
      <c r="H41" s="25">
        <f t="shared" si="0"/>
        <v>243000</v>
      </c>
      <c r="I41" s="191">
        <f>'Khu C'!G41</f>
        <v>243000</v>
      </c>
      <c r="J41" s="25">
        <f t="shared" si="1"/>
        <v>0</v>
      </c>
    </row>
    <row r="42" spans="1:10" ht="17.25" x14ac:dyDescent="0.3">
      <c r="A42" s="124" t="s">
        <v>235</v>
      </c>
      <c r="B42" s="139"/>
      <c r="C42" s="139"/>
      <c r="D42" s="139"/>
      <c r="E42" s="195"/>
      <c r="F42" s="139"/>
      <c r="G42" s="207">
        <f>IF(D43=0,0,IF(D40=0,SUM(F43:F44)+F40,SUM(F43:F44)))</f>
        <v>225250</v>
      </c>
      <c r="H42" s="25">
        <f t="shared" si="0"/>
        <v>0</v>
      </c>
      <c r="I42" s="191">
        <f>'Khu C'!G42</f>
        <v>0</v>
      </c>
      <c r="J42" s="25">
        <f t="shared" si="1"/>
        <v>0</v>
      </c>
    </row>
    <row r="43" spans="1:10" ht="16.5" x14ac:dyDescent="0.25">
      <c r="A43" s="5" t="s">
        <v>6</v>
      </c>
      <c r="B43" s="5">
        <v>785</v>
      </c>
      <c r="C43" s="5">
        <v>907</v>
      </c>
      <c r="D43" s="291">
        <f>VLOOKUP(RIGHT(LEFT(A42,11),4),'so nguoi'!$A$8:$B$21,2,0)</f>
        <v>8</v>
      </c>
      <c r="E43" s="195">
        <f>'Khu C'!F43/2</f>
        <v>41.5</v>
      </c>
      <c r="F43" s="109">
        <f>IF(A43="điện",E43*2500,E43*15000)</f>
        <v>103750</v>
      </c>
      <c r="G43" s="115"/>
      <c r="H43" s="25">
        <f t="shared" si="0"/>
        <v>207500</v>
      </c>
      <c r="I43" s="191">
        <f>'Khu C'!G43</f>
        <v>240700</v>
      </c>
      <c r="J43" s="25">
        <f t="shared" si="1"/>
        <v>33200</v>
      </c>
    </row>
    <row r="44" spans="1:10" ht="16.5" x14ac:dyDescent="0.25">
      <c r="A44" s="7" t="s">
        <v>7</v>
      </c>
      <c r="B44" s="7">
        <f>B41</f>
        <v>253</v>
      </c>
      <c r="C44" s="7">
        <f>C41</f>
        <v>306</v>
      </c>
      <c r="D44" s="292"/>
      <c r="E44" s="195">
        <f>'Khu C'!F44/2</f>
        <v>6.75</v>
      </c>
      <c r="F44" s="109">
        <f>IF(A44="điện",E44*2500,E44*18000)</f>
        <v>121500</v>
      </c>
      <c r="G44" s="116"/>
      <c r="H44" s="25">
        <f t="shared" si="0"/>
        <v>243000</v>
      </c>
      <c r="I44" s="191">
        <f>'Khu C'!G44</f>
        <v>243000</v>
      </c>
      <c r="J44" s="25">
        <f t="shared" si="1"/>
        <v>0</v>
      </c>
    </row>
    <row r="45" spans="1:10" ht="17.25" x14ac:dyDescent="0.3">
      <c r="A45" s="124" t="s">
        <v>236</v>
      </c>
      <c r="B45" s="139"/>
      <c r="C45" s="139"/>
      <c r="D45" s="139"/>
      <c r="E45" s="195"/>
      <c r="F45" s="139"/>
      <c r="G45" s="207">
        <f>IF(D46=0,0,IF(D49=0,SUM(F46:F47)+F49,SUM(F46:F47)))</f>
        <v>427450</v>
      </c>
      <c r="H45" s="25">
        <f t="shared" si="0"/>
        <v>0</v>
      </c>
      <c r="I45" s="191">
        <f>'Khu C'!G45</f>
        <v>0</v>
      </c>
      <c r="J45" s="25">
        <f t="shared" si="1"/>
        <v>0</v>
      </c>
    </row>
    <row r="46" spans="1:10" ht="16.5" x14ac:dyDescent="0.25">
      <c r="A46" s="5" t="s">
        <v>6</v>
      </c>
      <c r="B46" s="5">
        <v>1199</v>
      </c>
      <c r="C46" s="5">
        <v>1315</v>
      </c>
      <c r="D46" s="291">
        <f>VLOOKUP(RIGHT(LEFT(A45,11),4),'so nguoi'!$C$8:$N$21,2,0)</f>
        <v>6</v>
      </c>
      <c r="E46" s="195">
        <f>'Khu C'!F46/2</f>
        <v>56.5</v>
      </c>
      <c r="F46" s="109">
        <f>IF(A46="điện",E46*2500,E46*15000)</f>
        <v>141250</v>
      </c>
      <c r="G46" s="115"/>
      <c r="H46" s="25">
        <f t="shared" si="0"/>
        <v>282500</v>
      </c>
      <c r="I46" s="191">
        <f>'Khu C'!G46</f>
        <v>327700</v>
      </c>
      <c r="J46" s="25">
        <f t="shared" si="1"/>
        <v>45200</v>
      </c>
    </row>
    <row r="47" spans="1:10" ht="16.5" x14ac:dyDescent="0.25">
      <c r="A47" s="7" t="s">
        <v>7</v>
      </c>
      <c r="B47" s="7">
        <v>4696</v>
      </c>
      <c r="C47" s="7">
        <v>4738</v>
      </c>
      <c r="D47" s="292"/>
      <c r="E47" s="195">
        <f>'Khu C'!F47/2</f>
        <v>15.899999999999999</v>
      </c>
      <c r="F47" s="109">
        <f>IF(A47="điện",E47*2500,E47*18000)</f>
        <v>286200</v>
      </c>
      <c r="G47" s="116"/>
      <c r="H47" s="25">
        <f t="shared" si="0"/>
        <v>572400</v>
      </c>
      <c r="I47" s="191">
        <f>'Khu C'!G47</f>
        <v>572400</v>
      </c>
      <c r="J47" s="25">
        <f t="shared" si="1"/>
        <v>0</v>
      </c>
    </row>
    <row r="48" spans="1:10" ht="17.25" x14ac:dyDescent="0.3">
      <c r="A48" s="124" t="s">
        <v>237</v>
      </c>
      <c r="B48" s="139"/>
      <c r="C48" s="139"/>
      <c r="D48" s="139"/>
      <c r="E48" s="195"/>
      <c r="F48" s="139"/>
      <c r="G48" s="207">
        <f>IF(D49=0,0,IF(D46=0,SUM(F49:F50)+F46,SUM(F49:F50)))</f>
        <v>274550</v>
      </c>
      <c r="H48" s="25">
        <f t="shared" si="0"/>
        <v>0</v>
      </c>
      <c r="I48" s="191">
        <f>'Khu C'!G48</f>
        <v>0</v>
      </c>
      <c r="J48" s="25">
        <f t="shared" si="1"/>
        <v>0</v>
      </c>
    </row>
    <row r="49" spans="1:10" ht="16.5" x14ac:dyDescent="0.25">
      <c r="A49" s="5" t="s">
        <v>6</v>
      </c>
      <c r="B49" s="5">
        <v>1763</v>
      </c>
      <c r="C49" s="5">
        <v>1852</v>
      </c>
      <c r="D49" s="291">
        <f>VLOOKUP(RIGHT(LEFT(A48,11),4),'so nguoi'!$C$8:$N$21,2,0)</f>
        <v>4</v>
      </c>
      <c r="E49" s="195">
        <f>'Khu C'!F49/2</f>
        <v>33.5</v>
      </c>
      <c r="F49" s="109">
        <f>IF(A49="điện",E49*2500,E49*15000)</f>
        <v>83750</v>
      </c>
      <c r="G49" s="115"/>
      <c r="H49" s="25">
        <f t="shared" si="0"/>
        <v>167500</v>
      </c>
      <c r="I49" s="191">
        <f>'Khu C'!G49</f>
        <v>194300</v>
      </c>
      <c r="J49" s="25">
        <f t="shared" si="1"/>
        <v>26800</v>
      </c>
    </row>
    <row r="50" spans="1:10" ht="16.5" x14ac:dyDescent="0.25">
      <c r="A50" s="7" t="s">
        <v>7</v>
      </c>
      <c r="B50" s="7">
        <f>B47</f>
        <v>4696</v>
      </c>
      <c r="C50" s="7">
        <f>C47</f>
        <v>4738</v>
      </c>
      <c r="D50" s="292"/>
      <c r="E50" s="195">
        <f>'Khu C'!F50/2</f>
        <v>10.6</v>
      </c>
      <c r="F50" s="109">
        <f>IF(A50="điện",E50*2500,E50*18000)</f>
        <v>190800</v>
      </c>
      <c r="G50" s="116"/>
      <c r="H50" s="25">
        <f t="shared" si="0"/>
        <v>381600</v>
      </c>
      <c r="I50" s="191">
        <f>'Khu C'!G50</f>
        <v>381600</v>
      </c>
      <c r="J50" s="25">
        <f t="shared" si="1"/>
        <v>0</v>
      </c>
    </row>
    <row r="51" spans="1:10" ht="17.25" x14ac:dyDescent="0.3">
      <c r="A51" s="124" t="s">
        <v>238</v>
      </c>
      <c r="B51" s="139"/>
      <c r="C51" s="139"/>
      <c r="D51" s="139"/>
      <c r="E51" s="195"/>
      <c r="F51" s="139"/>
      <c r="G51" s="127">
        <f>SUM(F52:F53)</f>
        <v>0</v>
      </c>
      <c r="H51" s="25">
        <f t="shared" si="0"/>
        <v>0</v>
      </c>
      <c r="I51" s="191">
        <f>'Khu C'!G51</f>
        <v>0</v>
      </c>
      <c r="J51" s="25">
        <f t="shared" si="1"/>
        <v>0</v>
      </c>
    </row>
    <row r="52" spans="1:10" ht="16.5" x14ac:dyDescent="0.25">
      <c r="A52" s="5" t="s">
        <v>6</v>
      </c>
      <c r="B52" s="5">
        <v>789</v>
      </c>
      <c r="C52" s="5">
        <v>871</v>
      </c>
      <c r="D52" s="291">
        <f>VLOOKUP(RIGHT(LEFT(A51,11),4),'so nguoi'!$C$8:$N$21,2,0)</f>
        <v>0</v>
      </c>
      <c r="E52" s="195">
        <f>'Khu C'!F52/2</f>
        <v>0</v>
      </c>
      <c r="F52" s="109">
        <f>IF(A52="điện",E52*2500,E52*15000)</f>
        <v>0</v>
      </c>
      <c r="G52" s="115"/>
      <c r="H52" s="25">
        <f t="shared" si="0"/>
        <v>0</v>
      </c>
      <c r="I52" s="191">
        <f>'Khu C'!G52</f>
        <v>0</v>
      </c>
      <c r="J52" s="25">
        <f t="shared" si="1"/>
        <v>0</v>
      </c>
    </row>
    <row r="53" spans="1:10" ht="16.5" x14ac:dyDescent="0.25">
      <c r="A53" s="7" t="s">
        <v>7</v>
      </c>
      <c r="B53" s="7">
        <v>1259</v>
      </c>
      <c r="C53" s="7">
        <v>1262</v>
      </c>
      <c r="D53" s="292"/>
      <c r="E53" s="195">
        <f>'Khu C'!F53/2</f>
        <v>0</v>
      </c>
      <c r="F53" s="109">
        <f>IF(A53="điện",E53*2500,E53*15000)</f>
        <v>0</v>
      </c>
      <c r="G53" s="116"/>
      <c r="H53" s="25">
        <f t="shared" si="0"/>
        <v>0</v>
      </c>
      <c r="I53" s="191">
        <f>'Khu C'!G53</f>
        <v>0</v>
      </c>
      <c r="J53" s="25">
        <f t="shared" si="1"/>
        <v>0</v>
      </c>
    </row>
    <row r="54" spans="1:10" ht="17.25" x14ac:dyDescent="0.3">
      <c r="A54" s="124" t="s">
        <v>239</v>
      </c>
      <c r="B54" s="139"/>
      <c r="C54" s="139"/>
      <c r="D54" s="139"/>
      <c r="E54" s="195"/>
      <c r="F54" s="139"/>
      <c r="G54" s="207">
        <f>IF(D55=0,0,IF(D58=0,SUM(F55:F56)+F58,SUM(F55:F56)))</f>
        <v>0</v>
      </c>
      <c r="H54" s="25">
        <f t="shared" si="0"/>
        <v>0</v>
      </c>
      <c r="I54" s="191">
        <f>'Khu C'!G54</f>
        <v>0</v>
      </c>
      <c r="J54" s="25">
        <f t="shared" si="1"/>
        <v>0</v>
      </c>
    </row>
    <row r="55" spans="1:10" ht="16.5" x14ac:dyDescent="0.25">
      <c r="A55" s="60" t="s">
        <v>6</v>
      </c>
      <c r="B55" s="60">
        <v>1942</v>
      </c>
      <c r="C55" s="60">
        <v>2034</v>
      </c>
      <c r="D55" s="293">
        <f>VLOOKUP(RIGHT(LEFT(A54,11),4),'so nguoi'!$C$8:$N$21,2,0)</f>
        <v>0</v>
      </c>
      <c r="E55" s="195">
        <f>'Khu C'!F55/2</f>
        <v>0</v>
      </c>
      <c r="F55" s="109">
        <f>IF(A55="điện",E55*2500,E55*15000)</f>
        <v>0</v>
      </c>
      <c r="G55" s="153"/>
      <c r="H55" s="25">
        <f t="shared" si="0"/>
        <v>0</v>
      </c>
      <c r="I55" s="191">
        <f>'Khu C'!G55</f>
        <v>0</v>
      </c>
      <c r="J55" s="25">
        <f t="shared" si="1"/>
        <v>0</v>
      </c>
    </row>
    <row r="56" spans="1:10" ht="16.5" x14ac:dyDescent="0.25">
      <c r="A56" s="55" t="s">
        <v>7</v>
      </c>
      <c r="B56" s="55">
        <v>5332</v>
      </c>
      <c r="C56" s="55">
        <v>5361</v>
      </c>
      <c r="D56" s="294"/>
      <c r="E56" s="195">
        <f>'Khu C'!F56/2</f>
        <v>0</v>
      </c>
      <c r="F56" s="109">
        <f>IF(A56="điện",E56*2500,E56*15000)</f>
        <v>0</v>
      </c>
      <c r="G56" s="158"/>
      <c r="H56" s="25">
        <f t="shared" si="0"/>
        <v>0</v>
      </c>
      <c r="I56" s="191">
        <f>'Khu C'!G56</f>
        <v>0</v>
      </c>
      <c r="J56" s="25">
        <f t="shared" si="1"/>
        <v>0</v>
      </c>
    </row>
    <row r="57" spans="1:10" ht="17.25" x14ac:dyDescent="0.3">
      <c r="A57" s="159" t="s">
        <v>240</v>
      </c>
      <c r="B57" s="160"/>
      <c r="C57" s="160"/>
      <c r="D57" s="160"/>
      <c r="E57" s="195"/>
      <c r="F57" s="160"/>
      <c r="G57" s="207">
        <f>IF(D58=0,0,IF(D55=0,SUM(F58:F59)+F55,SUM(F58:F59)))</f>
        <v>457750</v>
      </c>
      <c r="H57" s="25">
        <f t="shared" si="0"/>
        <v>0</v>
      </c>
      <c r="I57" s="191">
        <f>'Khu C'!G57</f>
        <v>0</v>
      </c>
      <c r="J57" s="25">
        <f t="shared" si="1"/>
        <v>0</v>
      </c>
    </row>
    <row r="58" spans="1:10" ht="16.5" x14ac:dyDescent="0.25">
      <c r="A58" s="60" t="s">
        <v>6</v>
      </c>
      <c r="B58" s="60">
        <v>1517</v>
      </c>
      <c r="C58" s="60">
        <v>1605</v>
      </c>
      <c r="D58" s="293">
        <f>VLOOKUP(RIGHT(LEFT(A57,11),4),'so nguoi'!$C$8:$N$21,2,0)</f>
        <v>6</v>
      </c>
      <c r="E58" s="195">
        <f>'Khu C'!F58/2</f>
        <v>53.5</v>
      </c>
      <c r="F58" s="109">
        <f>IF(A58="điện",E58*2500,E58*15000)</f>
        <v>133750</v>
      </c>
      <c r="G58" s="153"/>
      <c r="H58" s="25">
        <f t="shared" si="0"/>
        <v>267500</v>
      </c>
      <c r="I58" s="191">
        <f>'Khu C'!G58</f>
        <v>310300</v>
      </c>
      <c r="J58" s="25">
        <f t="shared" si="1"/>
        <v>42800</v>
      </c>
    </row>
    <row r="59" spans="1:10" ht="16.5" x14ac:dyDescent="0.25">
      <c r="A59" s="55" t="s">
        <v>7</v>
      </c>
      <c r="B59" s="55">
        <f>B56</f>
        <v>5332</v>
      </c>
      <c r="C59" s="55">
        <f>C56</f>
        <v>5361</v>
      </c>
      <c r="D59" s="294"/>
      <c r="E59" s="195">
        <f>'Khu C'!F59/2</f>
        <v>18</v>
      </c>
      <c r="F59" s="109">
        <f>IF(A59="điện",E59*2500,E59*18000)</f>
        <v>324000</v>
      </c>
      <c r="G59" s="158"/>
      <c r="H59" s="25">
        <f t="shared" si="0"/>
        <v>648000</v>
      </c>
      <c r="I59" s="191">
        <f>'Khu C'!G59</f>
        <v>648000</v>
      </c>
      <c r="J59" s="25">
        <f t="shared" si="1"/>
        <v>0</v>
      </c>
    </row>
    <row r="60" spans="1:10" ht="17.25" x14ac:dyDescent="0.3">
      <c r="A60" s="124" t="s">
        <v>241</v>
      </c>
      <c r="B60" s="139"/>
      <c r="C60" s="139"/>
      <c r="D60" s="139"/>
      <c r="E60" s="195"/>
      <c r="F60" s="139"/>
      <c r="G60" s="207">
        <f>IF(D61=0,0,IF(D64=0,SUM(F61:F62)+F64,SUM(F61:F62)))</f>
        <v>0</v>
      </c>
      <c r="H60" s="25">
        <f t="shared" si="0"/>
        <v>0</v>
      </c>
      <c r="I60" s="191">
        <f>'Khu C'!G60</f>
        <v>0</v>
      </c>
      <c r="J60" s="25">
        <f t="shared" si="1"/>
        <v>0</v>
      </c>
    </row>
    <row r="61" spans="1:10" ht="16.5" x14ac:dyDescent="0.25">
      <c r="A61" s="60" t="s">
        <v>6</v>
      </c>
      <c r="B61" s="60">
        <v>819</v>
      </c>
      <c r="C61" s="60">
        <v>849</v>
      </c>
      <c r="D61" s="293">
        <f>VLOOKUP(RIGHT(LEFT(A60,11),4),'so nguoi'!$C$8:$N$21,2,0)</f>
        <v>0</v>
      </c>
      <c r="E61" s="195">
        <f>'Khu C'!F61/2</f>
        <v>0</v>
      </c>
      <c r="F61" s="109">
        <f>IF(A61="điện",E61*2500,E61*15000)</f>
        <v>0</v>
      </c>
      <c r="G61" s="153"/>
      <c r="H61" s="25">
        <f t="shared" si="0"/>
        <v>0</v>
      </c>
      <c r="I61" s="191">
        <f>'Khu C'!G61</f>
        <v>0</v>
      </c>
      <c r="J61" s="25">
        <f t="shared" si="1"/>
        <v>0</v>
      </c>
    </row>
    <row r="62" spans="1:10" ht="16.5" x14ac:dyDescent="0.25">
      <c r="A62" s="55" t="s">
        <v>7</v>
      </c>
      <c r="B62" s="55">
        <v>4833</v>
      </c>
      <c r="C62" s="55">
        <v>4868</v>
      </c>
      <c r="D62" s="294"/>
      <c r="E62" s="195">
        <f>'Khu C'!F62/2</f>
        <v>0</v>
      </c>
      <c r="F62" s="109">
        <f>IF(A62="điện",E62*2500,E62*15000)</f>
        <v>0</v>
      </c>
      <c r="G62" s="158"/>
      <c r="H62" s="25">
        <f t="shared" si="0"/>
        <v>0</v>
      </c>
      <c r="I62" s="191">
        <f>'Khu C'!G62</f>
        <v>0</v>
      </c>
      <c r="J62" s="25">
        <f t="shared" si="1"/>
        <v>0</v>
      </c>
    </row>
    <row r="63" spans="1:10" ht="17.25" x14ac:dyDescent="0.3">
      <c r="A63" s="124" t="s">
        <v>242</v>
      </c>
      <c r="B63" s="139"/>
      <c r="C63" s="139"/>
      <c r="D63" s="139"/>
      <c r="E63" s="195"/>
      <c r="F63" s="139"/>
      <c r="G63" s="207">
        <f>IF(D64=0,0,IF(D61=0,SUM(F64:F65)+F61,SUM(F64:F65)))</f>
        <v>588750</v>
      </c>
      <c r="H63" s="25">
        <f t="shared" si="0"/>
        <v>0</v>
      </c>
      <c r="I63" s="191">
        <f>'Khu C'!G63</f>
        <v>0</v>
      </c>
      <c r="J63" s="25">
        <f t="shared" si="1"/>
        <v>0</v>
      </c>
    </row>
    <row r="64" spans="1:10" ht="16.5" x14ac:dyDescent="0.25">
      <c r="A64" s="7" t="s">
        <v>6</v>
      </c>
      <c r="B64" s="7">
        <v>2687</v>
      </c>
      <c r="C64" s="7">
        <v>2772</v>
      </c>
      <c r="D64" s="291">
        <f>VLOOKUP(RIGHT(LEFT(A63,11),4),'so nguoi'!$C$8:$N$21,2,0)</f>
        <v>5</v>
      </c>
      <c r="E64" s="195">
        <f>'Khu C'!F64/2</f>
        <v>91.5</v>
      </c>
      <c r="F64" s="109">
        <f>IF(A64="điện",E64*2500,E64*15000)</f>
        <v>228750</v>
      </c>
      <c r="G64" s="117"/>
      <c r="H64" s="25">
        <f t="shared" si="0"/>
        <v>457500</v>
      </c>
      <c r="I64" s="191">
        <f>'Khu C'!G64</f>
        <v>530700</v>
      </c>
      <c r="J64" s="25">
        <f t="shared" si="1"/>
        <v>73200</v>
      </c>
    </row>
    <row r="65" spans="1:14" ht="16.5" x14ac:dyDescent="0.25">
      <c r="A65" s="55" t="s">
        <v>7</v>
      </c>
      <c r="B65" s="55">
        <f>B62</f>
        <v>4833</v>
      </c>
      <c r="C65" s="55">
        <f>C62</f>
        <v>4868</v>
      </c>
      <c r="D65" s="292"/>
      <c r="E65" s="195">
        <f>'Khu C'!F65/2</f>
        <v>20</v>
      </c>
      <c r="F65" s="109">
        <f>IF(A65="điện",E65*2500,E65*18000)</f>
        <v>360000</v>
      </c>
      <c r="G65" s="158"/>
      <c r="H65" s="25">
        <f t="shared" si="0"/>
        <v>720000</v>
      </c>
      <c r="I65" s="191">
        <f>'Khu C'!G65</f>
        <v>720000</v>
      </c>
      <c r="J65" s="25">
        <f t="shared" si="1"/>
        <v>0</v>
      </c>
    </row>
    <row r="66" spans="1:14" s="165" customFormat="1" ht="23.25" customHeight="1" x14ac:dyDescent="0.3">
      <c r="A66" s="159" t="s">
        <v>243</v>
      </c>
      <c r="B66" s="160"/>
      <c r="C66" s="160"/>
      <c r="D66" s="160"/>
      <c r="E66" s="195"/>
      <c r="F66" s="160"/>
      <c r="G66" s="207">
        <f>IF(D67=0,0,IF(D70=0,SUM(F67:F68)+F70,SUM(F67:F68)))</f>
        <v>345000</v>
      </c>
      <c r="H66" s="25">
        <f t="shared" si="0"/>
        <v>0</v>
      </c>
      <c r="I66" s="191">
        <f>'Khu C'!G66</f>
        <v>0</v>
      </c>
      <c r="J66" s="25">
        <f t="shared" si="1"/>
        <v>0</v>
      </c>
      <c r="K66" s="155"/>
      <c r="L66" s="155"/>
      <c r="M66" s="155"/>
      <c r="N66" s="155"/>
    </row>
    <row r="67" spans="1:14" s="59" customFormat="1" ht="16.5" x14ac:dyDescent="0.25">
      <c r="A67" s="60" t="s">
        <v>6</v>
      </c>
      <c r="B67" s="60">
        <v>430</v>
      </c>
      <c r="C67" s="60">
        <v>510</v>
      </c>
      <c r="D67" s="273">
        <f>VLOOKUP(RIGHT(LEFT(A66,11),4),'so nguoi'!$C$8:$N$21,2,0)</f>
        <v>5</v>
      </c>
      <c r="E67" s="195">
        <f>'Khu C'!F67/2</f>
        <v>48</v>
      </c>
      <c r="F67" s="109">
        <f>IF(A67="điện",E67*2500,E67*15000)</f>
        <v>120000</v>
      </c>
      <c r="G67" s="153"/>
      <c r="H67" s="25">
        <f t="shared" si="0"/>
        <v>240000</v>
      </c>
      <c r="I67" s="191">
        <f>'Khu C'!G67</f>
        <v>278400</v>
      </c>
      <c r="J67" s="25">
        <f t="shared" si="1"/>
        <v>38400</v>
      </c>
      <c r="K67" s="156"/>
      <c r="L67" s="156"/>
      <c r="M67" s="156"/>
      <c r="N67" s="156"/>
    </row>
    <row r="68" spans="1:14" s="59" customFormat="1" ht="16.5" x14ac:dyDescent="0.25">
      <c r="A68" s="55" t="s">
        <v>7</v>
      </c>
      <c r="B68" s="55">
        <v>508</v>
      </c>
      <c r="C68" s="55">
        <v>510</v>
      </c>
      <c r="D68" s="273"/>
      <c r="E68" s="195">
        <f>'Khu C'!F68/2</f>
        <v>12.5</v>
      </c>
      <c r="F68" s="109">
        <f>IF(A68="điện",E68*2500,E68*18000)</f>
        <v>225000</v>
      </c>
      <c r="G68" s="158"/>
      <c r="H68" s="25">
        <f t="shared" si="0"/>
        <v>450000</v>
      </c>
      <c r="I68" s="191">
        <f>'Khu C'!G68</f>
        <v>450000</v>
      </c>
      <c r="J68" s="25">
        <f t="shared" si="1"/>
        <v>0</v>
      </c>
      <c r="K68" s="156"/>
      <c r="L68" s="156"/>
      <c r="M68" s="156"/>
      <c r="N68" s="156"/>
    </row>
    <row r="69" spans="1:14" s="165" customFormat="1" ht="23.25" customHeight="1" x14ac:dyDescent="0.3">
      <c r="A69" s="159" t="s">
        <v>244</v>
      </c>
      <c r="B69" s="160"/>
      <c r="C69" s="160"/>
      <c r="D69" s="160"/>
      <c r="E69" s="195"/>
      <c r="F69" s="160"/>
      <c r="G69" s="207">
        <f>IF(D70=0,0,IF(D67=0,SUM(F70:F71)+F67,SUM(F70:F71)))</f>
        <v>302500</v>
      </c>
      <c r="H69" s="25">
        <f t="shared" si="0"/>
        <v>0</v>
      </c>
      <c r="I69" s="191">
        <f>'Khu C'!G69</f>
        <v>0</v>
      </c>
      <c r="J69" s="25">
        <f t="shared" si="1"/>
        <v>0</v>
      </c>
      <c r="K69" s="155"/>
      <c r="L69" s="155"/>
      <c r="M69" s="155"/>
      <c r="N69" s="155"/>
    </row>
    <row r="70" spans="1:14" s="59" customFormat="1" ht="16.5" x14ac:dyDescent="0.25">
      <c r="A70" s="55" t="s">
        <v>6</v>
      </c>
      <c r="B70" s="55">
        <v>9582</v>
      </c>
      <c r="C70" s="55">
        <v>9585</v>
      </c>
      <c r="D70" s="273">
        <f>VLOOKUP(RIGHT(LEFT(A69,11),4),'so nguoi'!$C$8:$N$21,2,0)</f>
        <v>5</v>
      </c>
      <c r="E70" s="195">
        <f>'Khu C'!F70/2</f>
        <v>31</v>
      </c>
      <c r="F70" s="109">
        <f>IF(A70="điện",E70*2500,E70*15000)</f>
        <v>77500</v>
      </c>
      <c r="G70" s="166"/>
      <c r="H70" s="25">
        <f t="shared" si="0"/>
        <v>155000</v>
      </c>
      <c r="I70" s="191">
        <f>'Khu C'!G70</f>
        <v>179800</v>
      </c>
      <c r="J70" s="25">
        <f t="shared" si="1"/>
        <v>24800</v>
      </c>
      <c r="K70" s="156"/>
      <c r="L70" s="156"/>
      <c r="M70" s="156"/>
      <c r="N70" s="156"/>
    </row>
    <row r="71" spans="1:14" s="59" customFormat="1" ht="16.5" x14ac:dyDescent="0.25">
      <c r="A71" s="55" t="s">
        <v>7</v>
      </c>
      <c r="B71" s="55">
        <f>B68</f>
        <v>508</v>
      </c>
      <c r="C71" s="55">
        <f>C68</f>
        <v>510</v>
      </c>
      <c r="D71" s="273"/>
      <c r="E71" s="195">
        <f>'Khu C'!F71/2</f>
        <v>12.5</v>
      </c>
      <c r="F71" s="109">
        <f>IF(A71="điện",E71*2500,E71*18000)</f>
        <v>225000</v>
      </c>
      <c r="G71" s="158"/>
      <c r="H71" s="25">
        <f t="shared" si="0"/>
        <v>450000</v>
      </c>
      <c r="I71" s="191">
        <f>'Khu C'!G71</f>
        <v>450000</v>
      </c>
      <c r="J71" s="25">
        <f t="shared" si="1"/>
        <v>0</v>
      </c>
      <c r="K71" s="156"/>
      <c r="L71" s="156"/>
      <c r="M71" s="156"/>
      <c r="N71" s="156"/>
    </row>
    <row r="72" spans="1:14" s="2" customFormat="1" ht="23.25" customHeight="1" x14ac:dyDescent="0.3">
      <c r="A72" s="124" t="s">
        <v>245</v>
      </c>
      <c r="B72" s="139"/>
      <c r="C72" s="139"/>
      <c r="D72" s="139"/>
      <c r="E72" s="195"/>
      <c r="F72" s="139"/>
      <c r="G72" s="207">
        <f>IF(D73=0,0,IF(D76=0,SUM(F73:F74)+F76,SUM(F73:F74)))</f>
        <v>32954.545454545456</v>
      </c>
      <c r="H72" s="25">
        <f t="shared" si="0"/>
        <v>0</v>
      </c>
      <c r="I72" s="191">
        <f>'Khu C'!G72</f>
        <v>0</v>
      </c>
      <c r="J72" s="25">
        <f t="shared" si="1"/>
        <v>0</v>
      </c>
      <c r="K72" s="120"/>
      <c r="L72" s="120"/>
      <c r="M72" s="120"/>
      <c r="N72" s="120"/>
    </row>
    <row r="73" spans="1:14" s="59" customFormat="1" ht="16.5" x14ac:dyDescent="0.25">
      <c r="A73" s="60" t="s">
        <v>6</v>
      </c>
      <c r="B73" s="60">
        <v>332</v>
      </c>
      <c r="C73" s="60">
        <v>395</v>
      </c>
      <c r="D73" s="273">
        <f>VLOOKUP(RIGHT(LEFT(A72,11),4),'so nguoi'!$C$8:$N$21,2,0)</f>
        <v>5</v>
      </c>
      <c r="E73" s="195">
        <f>'Khu C'!F73/2</f>
        <v>5</v>
      </c>
      <c r="F73" s="109">
        <f>IF(A73="điện",E73*2500,E73*15000)</f>
        <v>12500</v>
      </c>
      <c r="G73" s="153"/>
      <c r="H73" s="25">
        <f t="shared" si="0"/>
        <v>25000</v>
      </c>
      <c r="I73" s="191">
        <f>'Khu C'!G73</f>
        <v>29000</v>
      </c>
      <c r="J73" s="25">
        <f t="shared" si="1"/>
        <v>4000</v>
      </c>
      <c r="K73" s="156"/>
      <c r="L73" s="156"/>
      <c r="M73" s="156"/>
      <c r="N73" s="156"/>
    </row>
    <row r="74" spans="1:14" s="59" customFormat="1" ht="16.5" x14ac:dyDescent="0.25">
      <c r="A74" s="55" t="s">
        <v>7</v>
      </c>
      <c r="B74" s="55">
        <v>5277</v>
      </c>
      <c r="C74" s="55">
        <v>5312</v>
      </c>
      <c r="D74" s="273"/>
      <c r="E74" s="195">
        <f>'Khu C'!F74/2</f>
        <v>1.1363636363636362</v>
      </c>
      <c r="F74" s="109">
        <f>IF(A74="điện",E74*2500,E74*18000)</f>
        <v>20454.545454545452</v>
      </c>
      <c r="G74" s="158"/>
      <c r="H74" s="25">
        <f t="shared" si="0"/>
        <v>40909.090909090904</v>
      </c>
      <c r="I74" s="191">
        <f>'Khu C'!G74</f>
        <v>40909.090909090904</v>
      </c>
      <c r="J74" s="25">
        <f t="shared" si="1"/>
        <v>0</v>
      </c>
      <c r="K74" s="156"/>
      <c r="L74" s="156"/>
      <c r="M74" s="156"/>
      <c r="N74" s="156"/>
    </row>
    <row r="75" spans="1:14" s="2" customFormat="1" ht="23.25" customHeight="1" x14ac:dyDescent="0.3">
      <c r="A75" s="124" t="s">
        <v>246</v>
      </c>
      <c r="B75" s="139"/>
      <c r="C75" s="139"/>
      <c r="D75" s="139"/>
      <c r="E75" s="195"/>
      <c r="F75" s="139"/>
      <c r="G75" s="207">
        <f>IF(D76=0,0,IF(D73=0,SUM(F76:F77)+F73,SUM(F76:F77)))</f>
        <v>170795.45454545453</v>
      </c>
      <c r="H75" s="25">
        <f t="shared" ref="H75:H137" si="2">F75*2</f>
        <v>0</v>
      </c>
      <c r="I75" s="191">
        <f>'Khu C'!G75</f>
        <v>0</v>
      </c>
      <c r="J75" s="25">
        <f t="shared" si="1"/>
        <v>0</v>
      </c>
      <c r="K75" s="120"/>
      <c r="L75" s="120"/>
      <c r="M75" s="120"/>
      <c r="N75" s="120"/>
    </row>
    <row r="76" spans="1:14" ht="16.5" x14ac:dyDescent="0.25">
      <c r="A76" s="7" t="s">
        <v>6</v>
      </c>
      <c r="B76" s="7">
        <v>3182</v>
      </c>
      <c r="C76" s="7">
        <v>3265</v>
      </c>
      <c r="D76" s="287">
        <f>VLOOKUP(RIGHT(LEFT(A75,11),4),'so nguoi'!$C$8:$N$21,2,0)</f>
        <v>6</v>
      </c>
      <c r="E76" s="195">
        <f>'Khu C'!F76/2</f>
        <v>58.5</v>
      </c>
      <c r="F76" s="109">
        <f>IF(A76="điện",E76*2500,E76*15000)</f>
        <v>146250</v>
      </c>
      <c r="G76" s="117"/>
      <c r="H76" s="25">
        <f t="shared" si="2"/>
        <v>292500</v>
      </c>
      <c r="I76" s="191">
        <f>'Khu C'!G76</f>
        <v>339300</v>
      </c>
      <c r="J76" s="25">
        <f t="shared" si="1"/>
        <v>46800</v>
      </c>
      <c r="K76" s="75"/>
      <c r="L76" s="75"/>
      <c r="M76" s="75"/>
      <c r="N76" s="75"/>
    </row>
    <row r="77" spans="1:14" ht="16.5" x14ac:dyDescent="0.25">
      <c r="A77" s="7" t="s">
        <v>7</v>
      </c>
      <c r="B77" s="7">
        <f>B74</f>
        <v>5277</v>
      </c>
      <c r="C77" s="7">
        <f>C74</f>
        <v>5312</v>
      </c>
      <c r="D77" s="287"/>
      <c r="E77" s="195">
        <f>'Khu C'!F77/2</f>
        <v>1.3636363636363635</v>
      </c>
      <c r="F77" s="109">
        <f>IF(A77="điện",E77*2500,E77*18000)</f>
        <v>24545.454545454544</v>
      </c>
      <c r="G77" s="116"/>
      <c r="H77" s="25">
        <f t="shared" si="2"/>
        <v>49090.909090909088</v>
      </c>
      <c r="I77" s="191">
        <f>'Khu C'!G77</f>
        <v>49090.909090909088</v>
      </c>
      <c r="J77" s="25">
        <f t="shared" si="1"/>
        <v>0</v>
      </c>
      <c r="K77" s="75"/>
      <c r="L77" s="75"/>
      <c r="M77" s="75"/>
      <c r="N77" s="75"/>
    </row>
    <row r="78" spans="1:14" s="2" customFormat="1" ht="23.25" customHeight="1" x14ac:dyDescent="0.3">
      <c r="A78" s="124" t="s">
        <v>247</v>
      </c>
      <c r="B78" s="139"/>
      <c r="C78" s="139"/>
      <c r="D78" s="139"/>
      <c r="E78" s="195"/>
      <c r="F78" s="139"/>
      <c r="G78" s="207">
        <f>IF(D79=0,0,IF(D82=0,SUM(F79:F80)+F82,SUM(F79:F80)))</f>
        <v>409363.63636363635</v>
      </c>
      <c r="H78" s="25">
        <f t="shared" si="2"/>
        <v>0</v>
      </c>
      <c r="I78" s="191">
        <f>'Khu C'!G78</f>
        <v>0</v>
      </c>
      <c r="J78" s="25">
        <f t="shared" si="1"/>
        <v>0</v>
      </c>
      <c r="K78" s="120"/>
      <c r="L78" s="120"/>
      <c r="M78" s="120"/>
      <c r="N78" s="120"/>
    </row>
    <row r="79" spans="1:14" ht="16.5" x14ac:dyDescent="0.25">
      <c r="A79" s="5" t="s">
        <v>6</v>
      </c>
      <c r="B79" s="5">
        <v>9252</v>
      </c>
      <c r="C79" s="5">
        <v>9356</v>
      </c>
      <c r="D79" s="287">
        <f>VLOOKUP(RIGHT(LEFT(A78,11),4),'so nguoi'!$C$8:$N$21,2,0)</f>
        <v>6</v>
      </c>
      <c r="E79" s="195">
        <f>'Khu C'!F79/2</f>
        <v>42</v>
      </c>
      <c r="F79" s="109">
        <f>IF(A79="điện",E79*2500,E79*15000)</f>
        <v>105000</v>
      </c>
      <c r="G79" s="115"/>
      <c r="H79" s="25">
        <f t="shared" si="2"/>
        <v>210000</v>
      </c>
      <c r="I79" s="191">
        <f>'Khu C'!G79</f>
        <v>243600</v>
      </c>
      <c r="J79" s="25">
        <f t="shared" ref="J79:J139" si="3">I79-H79</f>
        <v>33600</v>
      </c>
      <c r="K79" s="75"/>
      <c r="L79" s="75"/>
      <c r="M79" s="75"/>
      <c r="N79" s="75"/>
    </row>
    <row r="80" spans="1:14" ht="16.5" x14ac:dyDescent="0.25">
      <c r="A80" s="7" t="s">
        <v>7</v>
      </c>
      <c r="B80" s="7">
        <v>4413</v>
      </c>
      <c r="C80" s="7">
        <v>4508</v>
      </c>
      <c r="D80" s="287"/>
      <c r="E80" s="195">
        <f>'Khu C'!F80/2</f>
        <v>16.90909090909091</v>
      </c>
      <c r="F80" s="109">
        <f>IF(A80="điện",E80*2500,E80*18000)</f>
        <v>304363.63636363635</v>
      </c>
      <c r="G80" s="116"/>
      <c r="H80" s="25">
        <f t="shared" si="2"/>
        <v>608727.27272727271</v>
      </c>
      <c r="I80" s="191">
        <f>'Khu C'!G80</f>
        <v>608727.27272727271</v>
      </c>
      <c r="J80" s="25">
        <f t="shared" si="3"/>
        <v>0</v>
      </c>
      <c r="K80" s="75"/>
      <c r="L80" s="75"/>
      <c r="M80" s="75"/>
      <c r="N80" s="75"/>
    </row>
    <row r="81" spans="1:14" s="2" customFormat="1" ht="23.25" customHeight="1" x14ac:dyDescent="0.3">
      <c r="A81" s="124" t="s">
        <v>248</v>
      </c>
      <c r="B81" s="139"/>
      <c r="C81" s="139"/>
      <c r="D81" s="139"/>
      <c r="E81" s="195"/>
      <c r="F81" s="139"/>
      <c r="G81" s="207">
        <f>IF(D82=0,0,IF(D79=0,SUM(F82:F83)+F79,SUM(F82:F83)))</f>
        <v>404886.36363636365</v>
      </c>
      <c r="H81" s="25">
        <f t="shared" si="2"/>
        <v>0</v>
      </c>
      <c r="I81" s="191">
        <f>'Khu C'!G81</f>
        <v>0</v>
      </c>
      <c r="J81" s="25">
        <f t="shared" si="3"/>
        <v>0</v>
      </c>
      <c r="K81" s="120"/>
      <c r="L81" s="120"/>
      <c r="M81" s="120"/>
      <c r="N81" s="120"/>
    </row>
    <row r="82" spans="1:14" ht="16.5" x14ac:dyDescent="0.25">
      <c r="A82" s="5" t="s">
        <v>6</v>
      </c>
      <c r="B82" s="5">
        <v>1877</v>
      </c>
      <c r="C82" s="5">
        <v>1992</v>
      </c>
      <c r="D82" s="287">
        <f>VLOOKUP(RIGHT(LEFT(A81,11),4),'so nguoi'!$C$8:$N$21,2,0)</f>
        <v>5</v>
      </c>
      <c r="E82" s="195">
        <f>'Khu C'!F82/2</f>
        <v>60.5</v>
      </c>
      <c r="F82" s="109">
        <f>IF(A82="điện",E82*2500,E82*15000)</f>
        <v>151250</v>
      </c>
      <c r="G82" s="115"/>
      <c r="H82" s="25">
        <f t="shared" si="2"/>
        <v>302500</v>
      </c>
      <c r="I82" s="191">
        <f>'Khu C'!G82</f>
        <v>350900</v>
      </c>
      <c r="J82" s="25">
        <f t="shared" si="3"/>
        <v>48400</v>
      </c>
      <c r="K82" s="75"/>
      <c r="L82" s="75"/>
      <c r="M82" s="75"/>
      <c r="N82" s="75"/>
    </row>
    <row r="83" spans="1:14" ht="16.5" x14ac:dyDescent="0.25">
      <c r="A83" s="7" t="s">
        <v>7</v>
      </c>
      <c r="B83" s="7">
        <f>B80</f>
        <v>4413</v>
      </c>
      <c r="C83" s="7">
        <f>C80</f>
        <v>4508</v>
      </c>
      <c r="D83" s="287"/>
      <c r="E83" s="195">
        <f>'Khu C'!F83/2</f>
        <v>14.090909090909092</v>
      </c>
      <c r="F83" s="109">
        <f>IF(A83="điện",E83*2500,E83*18000)</f>
        <v>253636.36363636365</v>
      </c>
      <c r="G83" s="116"/>
      <c r="H83" s="25">
        <f t="shared" si="2"/>
        <v>507272.72727272729</v>
      </c>
      <c r="I83" s="191">
        <f>'Khu C'!G83</f>
        <v>507272.72727272729</v>
      </c>
      <c r="J83" s="25">
        <f t="shared" si="3"/>
        <v>0</v>
      </c>
      <c r="K83" s="75"/>
      <c r="L83" s="75"/>
      <c r="M83" s="75"/>
      <c r="N83" s="75"/>
    </row>
    <row r="84" spans="1:14" s="192" customFormat="1" ht="23.25" customHeight="1" x14ac:dyDescent="0.3">
      <c r="A84" s="206" t="s">
        <v>303</v>
      </c>
      <c r="B84" s="208"/>
      <c r="C84" s="208"/>
      <c r="D84" s="208"/>
      <c r="E84" s="195"/>
      <c r="F84" s="208"/>
      <c r="G84" s="207">
        <f>SUM(F85:F86)</f>
        <v>722000</v>
      </c>
      <c r="H84" s="25">
        <f t="shared" si="2"/>
        <v>0</v>
      </c>
      <c r="I84" s="191">
        <f>'Khu C'!G84</f>
        <v>0</v>
      </c>
      <c r="J84" s="25">
        <f t="shared" si="3"/>
        <v>0</v>
      </c>
      <c r="K84" s="204"/>
      <c r="L84" s="204"/>
      <c r="M84" s="204"/>
      <c r="N84" s="204"/>
    </row>
    <row r="85" spans="1:14" s="191" customFormat="1" ht="16.5" x14ac:dyDescent="0.25">
      <c r="A85" s="193" t="s">
        <v>6</v>
      </c>
      <c r="B85" s="193">
        <v>1877</v>
      </c>
      <c r="C85" s="193">
        <v>1992</v>
      </c>
      <c r="D85" s="287">
        <f>VLOOKUP(RIGHT(LEFT(A84,11),4),'so nguoi'!$C$8:$N$21,2,0)</f>
        <v>7</v>
      </c>
      <c r="E85" s="195">
        <f>'Khu C'!F85/2</f>
        <v>98</v>
      </c>
      <c r="F85" s="201">
        <f>IF(A85="điện",E85*2500,E85*15000)</f>
        <v>245000</v>
      </c>
      <c r="G85" s="202"/>
      <c r="H85" s="25">
        <f t="shared" si="2"/>
        <v>490000</v>
      </c>
      <c r="I85" s="191">
        <f>'Khu C'!G85</f>
        <v>568400</v>
      </c>
      <c r="J85" s="25">
        <f t="shared" si="3"/>
        <v>78400</v>
      </c>
      <c r="K85" s="199"/>
      <c r="L85" s="199"/>
      <c r="M85" s="199"/>
      <c r="N85" s="199"/>
    </row>
    <row r="86" spans="1:14" s="191" customFormat="1" ht="16.5" x14ac:dyDescent="0.25">
      <c r="A86" s="194" t="s">
        <v>7</v>
      </c>
      <c r="B86" s="194">
        <f>B83</f>
        <v>4413</v>
      </c>
      <c r="C86" s="194">
        <f>C83</f>
        <v>4508</v>
      </c>
      <c r="D86" s="287"/>
      <c r="E86" s="195">
        <f>'Khu C'!F86/2</f>
        <v>26.5</v>
      </c>
      <c r="F86" s="201">
        <f>IF(A86="điện",E86*2500,E86*18000)</f>
        <v>477000</v>
      </c>
      <c r="G86" s="203"/>
      <c r="H86" s="25">
        <f t="shared" si="2"/>
        <v>954000</v>
      </c>
      <c r="I86" s="191">
        <f>'Khu C'!G86</f>
        <v>954000</v>
      </c>
      <c r="J86" s="25">
        <f t="shared" si="3"/>
        <v>0</v>
      </c>
      <c r="K86" s="199"/>
      <c r="L86" s="199"/>
      <c r="M86" s="199"/>
      <c r="N86" s="199"/>
    </row>
    <row r="87" spans="1:14" s="2" customFormat="1" ht="23.25" customHeight="1" x14ac:dyDescent="0.3">
      <c r="A87" s="124" t="s">
        <v>249</v>
      </c>
      <c r="B87" s="139"/>
      <c r="C87" s="139"/>
      <c r="D87" s="139"/>
      <c r="E87" s="195"/>
      <c r="F87" s="139"/>
      <c r="G87" s="207">
        <f>IF(D88=0,0,IF(D91=0,SUM(F88:F89)+F91,SUM(F88:F89)))</f>
        <v>247000</v>
      </c>
      <c r="H87" s="25">
        <f t="shared" si="2"/>
        <v>0</v>
      </c>
      <c r="I87" s="191">
        <f>'Khu C'!G87</f>
        <v>0</v>
      </c>
      <c r="J87" s="25">
        <f t="shared" si="3"/>
        <v>0</v>
      </c>
      <c r="K87" s="120"/>
      <c r="L87" s="120"/>
      <c r="M87" s="120"/>
      <c r="N87" s="120"/>
    </row>
    <row r="88" spans="1:14" ht="16.5" x14ac:dyDescent="0.25">
      <c r="A88" s="5" t="s">
        <v>6</v>
      </c>
      <c r="B88" s="5">
        <v>124</v>
      </c>
      <c r="C88" s="5">
        <v>124</v>
      </c>
      <c r="D88" s="287">
        <f>VLOOKUP(RIGHT(LEFT(A87,11),4),'so nguoi'!$E$8:$N$21,2,0)</f>
        <v>5</v>
      </c>
      <c r="E88" s="195">
        <f>'Khu C'!F88/2</f>
        <v>52</v>
      </c>
      <c r="F88" s="109">
        <f>IF(A88="điện",E88*2500,E88*15000)</f>
        <v>130000</v>
      </c>
      <c r="G88" s="115"/>
      <c r="H88" s="25">
        <f t="shared" si="2"/>
        <v>260000</v>
      </c>
      <c r="I88" s="191">
        <f>'Khu C'!G88</f>
        <v>301600</v>
      </c>
      <c r="J88" s="25">
        <f t="shared" si="3"/>
        <v>41600</v>
      </c>
      <c r="K88" s="75"/>
      <c r="L88" s="75"/>
      <c r="M88" s="75"/>
      <c r="N88" s="75"/>
    </row>
    <row r="89" spans="1:14" ht="16.5" x14ac:dyDescent="0.25">
      <c r="A89" s="7" t="s">
        <v>7</v>
      </c>
      <c r="B89" s="7">
        <v>51</v>
      </c>
      <c r="C89" s="7">
        <v>51</v>
      </c>
      <c r="D89" s="287"/>
      <c r="E89" s="195">
        <f>'Khu C'!F89/2</f>
        <v>6.5</v>
      </c>
      <c r="F89" s="109">
        <f>IF(A89="điện",E89*2500,E89*18000)</f>
        <v>117000</v>
      </c>
      <c r="G89" s="116"/>
      <c r="H89" s="25">
        <f t="shared" si="2"/>
        <v>234000</v>
      </c>
      <c r="I89" s="191">
        <f>'Khu C'!G89</f>
        <v>234000</v>
      </c>
      <c r="J89" s="25">
        <f t="shared" si="3"/>
        <v>0</v>
      </c>
      <c r="K89" s="75"/>
      <c r="L89" s="75"/>
      <c r="M89" s="75"/>
      <c r="N89" s="75"/>
    </row>
    <row r="90" spans="1:14" s="2" customFormat="1" ht="23.25" customHeight="1" x14ac:dyDescent="0.3">
      <c r="A90" s="124" t="s">
        <v>250</v>
      </c>
      <c r="B90" s="139"/>
      <c r="C90" s="139"/>
      <c r="D90" s="139"/>
      <c r="E90" s="195"/>
      <c r="F90" s="139"/>
      <c r="G90" s="207">
        <f>IF(D91=0,0,IF(D88=0,SUM(F91:F92)+F88,SUM(F91:F92)))</f>
        <v>303250</v>
      </c>
      <c r="H90" s="25">
        <f t="shared" si="2"/>
        <v>0</v>
      </c>
      <c r="I90" s="191">
        <f>'Khu C'!G90</f>
        <v>0</v>
      </c>
      <c r="J90" s="25">
        <f t="shared" si="3"/>
        <v>0</v>
      </c>
      <c r="K90" s="120"/>
      <c r="L90" s="120"/>
      <c r="M90" s="120"/>
      <c r="N90" s="120"/>
    </row>
    <row r="91" spans="1:14" s="59" customFormat="1" ht="16.5" x14ac:dyDescent="0.25">
      <c r="A91" s="60" t="s">
        <v>6</v>
      </c>
      <c r="B91" s="60">
        <v>691</v>
      </c>
      <c r="C91" s="60">
        <v>691</v>
      </c>
      <c r="D91" s="273">
        <f>VLOOKUP(RIGHT(LEFT(A90,11),4),'so nguoi'!$E$8:$N$21,2,0)</f>
        <v>5</v>
      </c>
      <c r="E91" s="195">
        <f>'Khu C'!F91/2</f>
        <v>74.5</v>
      </c>
      <c r="F91" s="109">
        <f>IF(A91="điện",E91*2500,E91*15000)</f>
        <v>186250</v>
      </c>
      <c r="G91" s="153"/>
      <c r="H91" s="25">
        <f t="shared" si="2"/>
        <v>372500</v>
      </c>
      <c r="I91" s="191">
        <f>'Khu C'!G91</f>
        <v>432100</v>
      </c>
      <c r="J91" s="25">
        <f t="shared" si="3"/>
        <v>59600</v>
      </c>
      <c r="K91" s="156"/>
      <c r="L91" s="156"/>
      <c r="M91" s="156"/>
      <c r="N91" s="156"/>
    </row>
    <row r="92" spans="1:14" s="59" customFormat="1" ht="16.5" x14ac:dyDescent="0.25">
      <c r="A92" s="55" t="s">
        <v>7</v>
      </c>
      <c r="B92" s="55">
        <f>B89</f>
        <v>51</v>
      </c>
      <c r="C92" s="55">
        <f>C89</f>
        <v>51</v>
      </c>
      <c r="D92" s="273"/>
      <c r="E92" s="195">
        <f>'Khu C'!F92/2</f>
        <v>6.5</v>
      </c>
      <c r="F92" s="201">
        <f>IF(A92="điện",E92*2500,E92*18000)</f>
        <v>117000</v>
      </c>
      <c r="G92" s="158"/>
      <c r="H92" s="25">
        <f t="shared" si="2"/>
        <v>234000</v>
      </c>
      <c r="I92" s="191">
        <f>'Khu C'!G92</f>
        <v>234000</v>
      </c>
      <c r="J92" s="25">
        <f t="shared" si="3"/>
        <v>0</v>
      </c>
      <c r="K92" s="156"/>
      <c r="L92" s="156"/>
      <c r="M92" s="156"/>
      <c r="N92" s="156"/>
    </row>
    <row r="93" spans="1:14" s="2" customFormat="1" ht="23.25" customHeight="1" x14ac:dyDescent="0.3">
      <c r="A93" s="124" t="s">
        <v>251</v>
      </c>
      <c r="B93" s="139"/>
      <c r="C93" s="139"/>
      <c r="D93" s="139"/>
      <c r="E93" s="195"/>
      <c r="F93" s="139"/>
      <c r="G93" s="127">
        <f>SUM(F94:F95)</f>
        <v>426000</v>
      </c>
      <c r="H93" s="25">
        <f t="shared" si="2"/>
        <v>0</v>
      </c>
      <c r="I93" s="191">
        <f>'Khu C'!G93</f>
        <v>0</v>
      </c>
      <c r="J93" s="25">
        <f t="shared" si="3"/>
        <v>0</v>
      </c>
      <c r="K93" s="120"/>
      <c r="L93" s="120"/>
      <c r="M93" s="120"/>
      <c r="N93" s="120"/>
    </row>
    <row r="94" spans="1:14" ht="16.5" x14ac:dyDescent="0.25">
      <c r="A94" s="5" t="s">
        <v>6</v>
      </c>
      <c r="B94" s="5">
        <v>361</v>
      </c>
      <c r="C94" s="5">
        <v>498</v>
      </c>
      <c r="D94" s="287">
        <f>VLOOKUP(RIGHT(LEFT(A93,11),4),'so nguoi'!$E$8:$N$21,2,0)</f>
        <v>6</v>
      </c>
      <c r="E94" s="195">
        <f>'Khu C'!F94/2</f>
        <v>66</v>
      </c>
      <c r="F94" s="109">
        <f>IF(A94="điện",E94*2500,E94*15000)</f>
        <v>165000</v>
      </c>
      <c r="G94" s="115"/>
      <c r="H94" s="25">
        <f t="shared" si="2"/>
        <v>330000</v>
      </c>
      <c r="I94" s="191">
        <f>'Khu C'!G94</f>
        <v>382800</v>
      </c>
      <c r="J94" s="25">
        <f t="shared" si="3"/>
        <v>52800</v>
      </c>
      <c r="K94" s="75"/>
      <c r="L94" s="75"/>
      <c r="M94" s="75"/>
      <c r="N94" s="75"/>
    </row>
    <row r="95" spans="1:14" ht="16.5" x14ac:dyDescent="0.25">
      <c r="A95" s="7" t="s">
        <v>7</v>
      </c>
      <c r="B95" s="7">
        <v>135</v>
      </c>
      <c r="C95" s="7">
        <v>168</v>
      </c>
      <c r="D95" s="287"/>
      <c r="E95" s="195">
        <f>'Khu C'!F95/2</f>
        <v>14.5</v>
      </c>
      <c r="F95" s="201">
        <f>IF(A95="điện",E95*2500,E95*18000)</f>
        <v>261000</v>
      </c>
      <c r="G95" s="115"/>
      <c r="H95" s="25">
        <f t="shared" si="2"/>
        <v>522000</v>
      </c>
      <c r="I95" s="191">
        <f>'Khu C'!G95</f>
        <v>522000</v>
      </c>
      <c r="J95" s="25">
        <f t="shared" si="3"/>
        <v>0</v>
      </c>
      <c r="K95" s="75"/>
      <c r="L95" s="75"/>
      <c r="M95" s="75"/>
      <c r="N95" s="75"/>
    </row>
    <row r="96" spans="1:14" s="2" customFormat="1" ht="23.25" customHeight="1" x14ac:dyDescent="0.3">
      <c r="A96" s="124" t="s">
        <v>252</v>
      </c>
      <c r="B96" s="139"/>
      <c r="C96" s="139"/>
      <c r="D96" s="139"/>
      <c r="E96" s="195"/>
      <c r="F96" s="139"/>
      <c r="G96" s="207">
        <f>IF(D97=0,0,IF(D100=0,SUM(F97:F98)+F100,SUM(F97:F98)))</f>
        <v>0</v>
      </c>
      <c r="H96" s="25">
        <f t="shared" si="2"/>
        <v>0</v>
      </c>
      <c r="I96" s="191">
        <f>'Khu C'!G96</f>
        <v>0</v>
      </c>
      <c r="J96" s="25">
        <f t="shared" si="3"/>
        <v>0</v>
      </c>
      <c r="K96" s="120"/>
      <c r="L96" s="120"/>
      <c r="M96" s="120"/>
      <c r="N96" s="120"/>
    </row>
    <row r="97" spans="1:14" ht="16.5" x14ac:dyDescent="0.25">
      <c r="A97" s="7" t="s">
        <v>6</v>
      </c>
      <c r="B97" s="7">
        <v>257</v>
      </c>
      <c r="C97" s="7">
        <v>354</v>
      </c>
      <c r="D97" s="287">
        <f>VLOOKUP(RIGHT(LEFT(A96,11),4),'so nguoi'!$E$8:$N$21,2,0)</f>
        <v>0</v>
      </c>
      <c r="E97" s="195">
        <f>'Khu C'!F97/2</f>
        <v>0</v>
      </c>
      <c r="F97" s="109">
        <f>IF(A97="điện",E97*2500,E97*15000)</f>
        <v>0</v>
      </c>
      <c r="G97" s="118"/>
      <c r="H97" s="25">
        <f t="shared" si="2"/>
        <v>0</v>
      </c>
      <c r="I97" s="191">
        <f>'Khu C'!G97</f>
        <v>0</v>
      </c>
      <c r="J97" s="25">
        <f t="shared" si="3"/>
        <v>0</v>
      </c>
      <c r="K97" s="75"/>
      <c r="L97" s="75"/>
      <c r="M97" s="75"/>
      <c r="N97" s="75"/>
    </row>
    <row r="98" spans="1:14" ht="16.5" x14ac:dyDescent="0.25">
      <c r="A98" s="7" t="s">
        <v>7</v>
      </c>
      <c r="B98" s="7">
        <v>310</v>
      </c>
      <c r="C98" s="7">
        <v>351</v>
      </c>
      <c r="D98" s="287"/>
      <c r="E98" s="195">
        <f>'Khu C'!F98/2</f>
        <v>0</v>
      </c>
      <c r="F98" s="201">
        <f>IF(A98="điện",E98*2500,E98*15000)</f>
        <v>0</v>
      </c>
      <c r="G98" s="119"/>
      <c r="H98" s="25">
        <f t="shared" si="2"/>
        <v>0</v>
      </c>
      <c r="I98" s="191">
        <f>'Khu C'!G98</f>
        <v>0</v>
      </c>
      <c r="J98" s="25">
        <f t="shared" si="3"/>
        <v>0</v>
      </c>
      <c r="K98" s="75"/>
      <c r="L98" s="75"/>
      <c r="M98" s="75"/>
      <c r="N98" s="75"/>
    </row>
    <row r="99" spans="1:14" s="2" customFormat="1" ht="23.25" customHeight="1" x14ac:dyDescent="0.3">
      <c r="A99" s="124" t="s">
        <v>253</v>
      </c>
      <c r="B99" s="139"/>
      <c r="C99" s="139"/>
      <c r="D99" s="139"/>
      <c r="E99" s="195"/>
      <c r="F99" s="139"/>
      <c r="G99" s="207">
        <f>IF(D100=0,0,IF(D97=0,SUM(F100:F101)+F97,SUM(F100:F101)))</f>
        <v>0</v>
      </c>
      <c r="H99" s="25">
        <f t="shared" si="2"/>
        <v>0</v>
      </c>
      <c r="I99" s="191">
        <f>'Khu C'!G99</f>
        <v>0</v>
      </c>
      <c r="J99" s="25">
        <f t="shared" si="3"/>
        <v>0</v>
      </c>
      <c r="K99" s="120"/>
      <c r="L99" s="120"/>
      <c r="M99" s="120"/>
      <c r="N99" s="120"/>
    </row>
    <row r="100" spans="1:14" ht="16.5" x14ac:dyDescent="0.25">
      <c r="A100" s="5" t="s">
        <v>6</v>
      </c>
      <c r="B100" s="5">
        <v>381</v>
      </c>
      <c r="C100" s="5">
        <v>458</v>
      </c>
      <c r="D100" s="287">
        <f>VLOOKUP(RIGHT(LEFT(A99,11),4),'so nguoi'!$E$8:$N$21,2,0)</f>
        <v>0</v>
      </c>
      <c r="E100" s="195">
        <f>'Khu C'!F100/2</f>
        <v>0</v>
      </c>
      <c r="F100" s="109">
        <f>IF(A100="điện",E100*2500,E100*15000)</f>
        <v>0</v>
      </c>
      <c r="G100" s="115"/>
      <c r="H100" s="25">
        <f t="shared" si="2"/>
        <v>0</v>
      </c>
      <c r="I100" s="191">
        <f>'Khu C'!G100</f>
        <v>0</v>
      </c>
      <c r="J100" s="25">
        <f t="shared" si="3"/>
        <v>0</v>
      </c>
      <c r="K100" s="75"/>
      <c r="L100" s="75"/>
      <c r="M100" s="75"/>
      <c r="N100" s="75"/>
    </row>
    <row r="101" spans="1:14" ht="16.5" x14ac:dyDescent="0.25">
      <c r="A101" s="7" t="s">
        <v>7</v>
      </c>
      <c r="B101" s="7">
        <f>B98</f>
        <v>310</v>
      </c>
      <c r="C101" s="7">
        <f>C98</f>
        <v>351</v>
      </c>
      <c r="D101" s="287"/>
      <c r="E101" s="195">
        <f>'Khu C'!F101/2</f>
        <v>0</v>
      </c>
      <c r="F101" s="201">
        <f>IF(A101="điện",E101*2500,E101*15000)</f>
        <v>0</v>
      </c>
      <c r="G101" s="116"/>
      <c r="H101" s="25">
        <f t="shared" si="2"/>
        <v>0</v>
      </c>
      <c r="I101" s="191">
        <f>'Khu C'!G101</f>
        <v>0</v>
      </c>
      <c r="J101" s="25">
        <f t="shared" si="3"/>
        <v>0</v>
      </c>
      <c r="K101" s="75"/>
      <c r="L101" s="75"/>
      <c r="M101" s="75"/>
      <c r="N101" s="75"/>
    </row>
    <row r="102" spans="1:14" s="2" customFormat="1" ht="23.25" customHeight="1" x14ac:dyDescent="0.3">
      <c r="A102" s="124" t="s">
        <v>182</v>
      </c>
      <c r="B102" s="139"/>
      <c r="C102" s="139"/>
      <c r="D102" s="139"/>
      <c r="E102" s="195"/>
      <c r="F102" s="139"/>
      <c r="G102" s="207">
        <f>IF(D103=0,0,IF(D106=0,SUM(F103:F104)+F106,SUM(F103:F104)))</f>
        <v>298000</v>
      </c>
      <c r="H102" s="25">
        <f t="shared" si="2"/>
        <v>0</v>
      </c>
      <c r="I102" s="191">
        <f>'Khu C'!G102</f>
        <v>0</v>
      </c>
      <c r="J102" s="25">
        <f t="shared" si="3"/>
        <v>0</v>
      </c>
      <c r="K102" s="120"/>
      <c r="L102" s="120"/>
      <c r="M102" s="120"/>
      <c r="N102" s="120"/>
    </row>
    <row r="103" spans="1:14" ht="16.5" x14ac:dyDescent="0.25">
      <c r="A103" s="5" t="s">
        <v>6</v>
      </c>
      <c r="B103" s="5">
        <v>727</v>
      </c>
      <c r="C103" s="5">
        <v>851</v>
      </c>
      <c r="D103" s="287">
        <f>VLOOKUP(RIGHT(LEFT(A102,11),4),'so nguoi'!$E$8:$N$21,2,0)</f>
        <v>5</v>
      </c>
      <c r="E103" s="195">
        <f>'Khu C'!F103/2</f>
        <v>76</v>
      </c>
      <c r="F103" s="109">
        <f>IF(A103="điện",E103*2500,E103*15000)</f>
        <v>190000</v>
      </c>
      <c r="G103" s="115"/>
      <c r="H103" s="25">
        <f t="shared" si="2"/>
        <v>380000</v>
      </c>
      <c r="I103" s="191">
        <f>'Khu C'!G103</f>
        <v>440800</v>
      </c>
      <c r="J103" s="25">
        <f t="shared" si="3"/>
        <v>60800</v>
      </c>
      <c r="K103" s="75"/>
      <c r="L103" s="75"/>
      <c r="M103" s="75"/>
      <c r="N103" s="75"/>
    </row>
    <row r="104" spans="1:14" ht="16.5" x14ac:dyDescent="0.25">
      <c r="A104" s="7" t="s">
        <v>7</v>
      </c>
      <c r="B104" s="7">
        <v>398</v>
      </c>
      <c r="C104" s="7">
        <v>470</v>
      </c>
      <c r="D104" s="287"/>
      <c r="E104" s="195">
        <f>'Khu C'!F104/2</f>
        <v>6</v>
      </c>
      <c r="F104" s="201">
        <f>IF(A104="điện",E104*2500,E104*18000)</f>
        <v>108000</v>
      </c>
      <c r="G104" s="116"/>
      <c r="H104" s="25">
        <f t="shared" si="2"/>
        <v>216000</v>
      </c>
      <c r="I104" s="191">
        <f>'Khu C'!G104</f>
        <v>216000</v>
      </c>
      <c r="J104" s="25">
        <f t="shared" si="3"/>
        <v>0</v>
      </c>
      <c r="K104" s="75"/>
      <c r="L104" s="75"/>
      <c r="M104" s="75"/>
      <c r="N104" s="75"/>
    </row>
    <row r="105" spans="1:14" s="2" customFormat="1" ht="23.25" customHeight="1" x14ac:dyDescent="0.3">
      <c r="A105" s="124" t="s">
        <v>254</v>
      </c>
      <c r="B105" s="139"/>
      <c r="C105" s="139"/>
      <c r="D105" s="139"/>
      <c r="E105" s="195"/>
      <c r="F105" s="139"/>
      <c r="G105" s="207">
        <f>IF(D106=0,0,IF(D103=0,SUM(F106:F107)+F103,SUM(F106:F107)))</f>
        <v>0</v>
      </c>
      <c r="H105" s="25">
        <f t="shared" si="2"/>
        <v>0</v>
      </c>
      <c r="I105" s="191">
        <f>'Khu C'!G105</f>
        <v>0</v>
      </c>
      <c r="J105" s="25">
        <f t="shared" si="3"/>
        <v>0</v>
      </c>
      <c r="K105" s="120"/>
      <c r="L105" s="120"/>
      <c r="M105" s="120"/>
      <c r="N105" s="120"/>
    </row>
    <row r="106" spans="1:14" ht="16.5" x14ac:dyDescent="0.25">
      <c r="A106" s="5" t="s">
        <v>6</v>
      </c>
      <c r="B106" s="5">
        <v>564</v>
      </c>
      <c r="C106" s="5">
        <v>661</v>
      </c>
      <c r="D106" s="287">
        <f>VLOOKUP(RIGHT(LEFT(A105,11),4),'so nguoi'!$E$8:$N$21,2,0)</f>
        <v>0</v>
      </c>
      <c r="E106" s="195">
        <f>'Khu C'!F106/2</f>
        <v>0</v>
      </c>
      <c r="F106" s="109">
        <f>IF(A106="điện",E106*2500,E106*15000)</f>
        <v>0</v>
      </c>
      <c r="G106" s="115"/>
      <c r="H106" s="25">
        <f t="shared" si="2"/>
        <v>0</v>
      </c>
      <c r="I106" s="191">
        <f>'Khu C'!G106</f>
        <v>0</v>
      </c>
      <c r="J106" s="25">
        <f t="shared" si="3"/>
        <v>0</v>
      </c>
      <c r="K106" s="75"/>
      <c r="L106" s="75"/>
      <c r="M106" s="75"/>
      <c r="N106" s="75"/>
    </row>
    <row r="107" spans="1:14" ht="16.5" x14ac:dyDescent="0.25">
      <c r="A107" s="7" t="s">
        <v>7</v>
      </c>
      <c r="B107" s="7">
        <f>B104</f>
        <v>398</v>
      </c>
      <c r="C107" s="7">
        <f>C104</f>
        <v>470</v>
      </c>
      <c r="D107" s="287"/>
      <c r="E107" s="195">
        <f>'Khu C'!F107/2</f>
        <v>0</v>
      </c>
      <c r="F107" s="201">
        <f>IF(A107="điện",E107*2500,E107*15000)</f>
        <v>0</v>
      </c>
      <c r="G107" s="116"/>
      <c r="H107" s="25">
        <f t="shared" si="2"/>
        <v>0</v>
      </c>
      <c r="I107" s="191">
        <f>'Khu C'!G107</f>
        <v>0</v>
      </c>
      <c r="J107" s="25">
        <f t="shared" si="3"/>
        <v>0</v>
      </c>
      <c r="K107" s="75"/>
      <c r="L107" s="75"/>
      <c r="M107" s="75"/>
      <c r="N107" s="75"/>
    </row>
    <row r="108" spans="1:14" s="2" customFormat="1" ht="23.25" customHeight="1" x14ac:dyDescent="0.3">
      <c r="A108" s="124" t="s">
        <v>255</v>
      </c>
      <c r="B108" s="139"/>
      <c r="C108" s="139"/>
      <c r="D108" s="139"/>
      <c r="E108" s="195"/>
      <c r="F108" s="139"/>
      <c r="G108" s="207">
        <f>IF(D109=0,0,IF(D112=0,SUM(F109:F110)+F112,SUM(F109:F110)))</f>
        <v>0</v>
      </c>
      <c r="H108" s="25">
        <f t="shared" si="2"/>
        <v>0</v>
      </c>
      <c r="I108" s="191">
        <f>'Khu C'!G108</f>
        <v>0</v>
      </c>
      <c r="J108" s="25">
        <f t="shared" si="3"/>
        <v>0</v>
      </c>
      <c r="K108" s="120"/>
      <c r="L108" s="120"/>
      <c r="M108" s="120"/>
      <c r="N108" s="120"/>
    </row>
    <row r="109" spans="1:14" ht="16.5" x14ac:dyDescent="0.25">
      <c r="A109" s="5" t="s">
        <v>6</v>
      </c>
      <c r="B109" s="5">
        <v>841</v>
      </c>
      <c r="C109" s="5">
        <v>1021</v>
      </c>
      <c r="D109" s="287">
        <f>VLOOKUP(RIGHT(LEFT(A108,11),4),'so nguoi'!$E$8:$N$21,2,0)</f>
        <v>0</v>
      </c>
      <c r="E109" s="195">
        <f>'Khu C'!F109/2</f>
        <v>0</v>
      </c>
      <c r="F109" s="109">
        <f>IF(A109="điện",E109*2500,E109*15000)</f>
        <v>0</v>
      </c>
      <c r="G109" s="115"/>
      <c r="H109" s="25">
        <f t="shared" si="2"/>
        <v>0</v>
      </c>
      <c r="I109" s="191">
        <f>'Khu C'!G109</f>
        <v>0</v>
      </c>
      <c r="J109" s="25">
        <f t="shared" si="3"/>
        <v>0</v>
      </c>
      <c r="K109" s="75"/>
      <c r="L109" s="75"/>
      <c r="M109" s="75"/>
      <c r="N109" s="75"/>
    </row>
    <row r="110" spans="1:14" s="189" customFormat="1" ht="16.5" x14ac:dyDescent="0.25">
      <c r="A110" s="196" t="s">
        <v>7</v>
      </c>
      <c r="B110" s="196">
        <v>198</v>
      </c>
      <c r="C110" s="196">
        <v>220</v>
      </c>
      <c r="D110" s="287"/>
      <c r="E110" s="195">
        <f>'Khu C'!F110/2</f>
        <v>0</v>
      </c>
      <c r="F110" s="201">
        <f>IF(A110="điện",E110*2500,E110*15000)</f>
        <v>0</v>
      </c>
      <c r="G110" s="188"/>
      <c r="H110" s="25">
        <f t="shared" si="2"/>
        <v>0</v>
      </c>
      <c r="I110" s="191">
        <f>'Khu C'!G110</f>
        <v>0</v>
      </c>
      <c r="J110" s="25">
        <f t="shared" si="3"/>
        <v>0</v>
      </c>
      <c r="K110" s="187"/>
      <c r="L110" s="187"/>
      <c r="M110" s="187"/>
      <c r="N110" s="187"/>
    </row>
    <row r="111" spans="1:14" s="2" customFormat="1" ht="23.25" customHeight="1" x14ac:dyDescent="0.3">
      <c r="A111" s="124" t="s">
        <v>256</v>
      </c>
      <c r="B111" s="139"/>
      <c r="C111" s="139"/>
      <c r="D111" s="139"/>
      <c r="E111" s="214"/>
      <c r="F111" s="181"/>
      <c r="G111" s="207">
        <f>IF(D112=0,0,IF(D109=0,SUM(F112:F113)+F109,SUM(F112:F113)))</f>
        <v>0</v>
      </c>
      <c r="H111" s="25">
        <f t="shared" si="2"/>
        <v>0</v>
      </c>
      <c r="I111" s="191">
        <f>'Khu C'!G111</f>
        <v>0</v>
      </c>
      <c r="J111" s="25">
        <f t="shared" si="3"/>
        <v>0</v>
      </c>
      <c r="K111" s="120"/>
      <c r="L111" s="120"/>
      <c r="M111" s="120"/>
      <c r="N111" s="120"/>
    </row>
    <row r="112" spans="1:14" ht="16.5" x14ac:dyDescent="0.25">
      <c r="A112" s="5" t="s">
        <v>6</v>
      </c>
      <c r="B112" s="5">
        <v>202</v>
      </c>
      <c r="C112" s="5">
        <v>202</v>
      </c>
      <c r="D112" s="287">
        <f>VLOOKUP(RIGHT(LEFT(A111,11),4),'so nguoi'!$E$8:$N$21,2,0)</f>
        <v>0</v>
      </c>
      <c r="E112" s="195">
        <f>'Khu C'!F112/2</f>
        <v>0</v>
      </c>
      <c r="F112" s="111">
        <f>IF(A112="điện",E112*2500,E112*15000)</f>
        <v>0</v>
      </c>
      <c r="G112" s="118"/>
      <c r="H112" s="25">
        <f t="shared" si="2"/>
        <v>0</v>
      </c>
      <c r="I112" s="191">
        <f>'Khu C'!G112</f>
        <v>0</v>
      </c>
      <c r="J112" s="25">
        <f t="shared" si="3"/>
        <v>0</v>
      </c>
      <c r="K112" s="75"/>
      <c r="L112" s="75"/>
      <c r="M112" s="75"/>
      <c r="N112" s="75"/>
    </row>
    <row r="113" spans="1:14" s="189" customFormat="1" ht="16.5" x14ac:dyDescent="0.25">
      <c r="A113" s="196" t="s">
        <v>7</v>
      </c>
      <c r="B113" s="196">
        <f>B110</f>
        <v>198</v>
      </c>
      <c r="C113" s="196">
        <f>C110</f>
        <v>220</v>
      </c>
      <c r="D113" s="287"/>
      <c r="E113" s="195">
        <f>'Khu C'!F113/2</f>
        <v>0</v>
      </c>
      <c r="F113" s="111">
        <f>IF(A113="điện",E113*2500,E113*15000)</f>
        <v>0</v>
      </c>
      <c r="G113" s="182"/>
      <c r="H113" s="25">
        <f t="shared" si="2"/>
        <v>0</v>
      </c>
      <c r="I113" s="191">
        <f>'Khu C'!G113</f>
        <v>0</v>
      </c>
      <c r="J113" s="25">
        <f t="shared" si="3"/>
        <v>0</v>
      </c>
      <c r="K113" s="187"/>
      <c r="L113" s="187"/>
      <c r="M113" s="187"/>
      <c r="N113" s="187"/>
    </row>
    <row r="114" spans="1:14" s="192" customFormat="1" ht="23.25" customHeight="1" x14ac:dyDescent="0.3">
      <c r="A114" s="206" t="s">
        <v>304</v>
      </c>
      <c r="B114" s="208"/>
      <c r="C114" s="208"/>
      <c r="D114" s="208"/>
      <c r="E114" s="214"/>
      <c r="F114" s="181"/>
      <c r="G114" s="207">
        <f>IF(D115=0,0,IF(D118=0,SUM(F115:F116)+F118,SUM(F115:F116)))</f>
        <v>0</v>
      </c>
      <c r="H114" s="25">
        <f t="shared" si="2"/>
        <v>0</v>
      </c>
      <c r="I114" s="191">
        <f>'Khu C'!G114</f>
        <v>0</v>
      </c>
      <c r="J114" s="25">
        <f t="shared" si="3"/>
        <v>0</v>
      </c>
      <c r="K114" s="204"/>
      <c r="L114" s="204"/>
      <c r="M114" s="204"/>
      <c r="N114" s="204"/>
    </row>
    <row r="115" spans="1:14" s="191" customFormat="1" ht="16.5" x14ac:dyDescent="0.25">
      <c r="A115" s="193" t="s">
        <v>6</v>
      </c>
      <c r="B115" s="193">
        <v>202</v>
      </c>
      <c r="C115" s="193">
        <v>202</v>
      </c>
      <c r="D115" s="287">
        <f>VLOOKUP(RIGHT(LEFT(A114,11),4),'so nguoi'!$E$8:$N$21,2,0)</f>
        <v>0</v>
      </c>
      <c r="E115" s="195">
        <f>'Khu C'!F115/2</f>
        <v>0</v>
      </c>
      <c r="F115" s="111">
        <f>IF(A115="điện",E115*2500,E115*15000)</f>
        <v>0</v>
      </c>
      <c r="G115" s="118"/>
      <c r="H115" s="25">
        <f t="shared" si="2"/>
        <v>0</v>
      </c>
      <c r="I115" s="191">
        <f>'Khu C'!G115</f>
        <v>0</v>
      </c>
      <c r="J115" s="25">
        <f t="shared" si="3"/>
        <v>0</v>
      </c>
      <c r="K115" s="199"/>
      <c r="L115" s="199"/>
      <c r="M115" s="199"/>
      <c r="N115" s="199"/>
    </row>
    <row r="116" spans="1:14" s="189" customFormat="1" ht="16.5" x14ac:dyDescent="0.25">
      <c r="A116" s="196" t="s">
        <v>7</v>
      </c>
      <c r="B116" s="196">
        <f>B113</f>
        <v>198</v>
      </c>
      <c r="C116" s="196">
        <f>C113</f>
        <v>220</v>
      </c>
      <c r="D116" s="287"/>
      <c r="E116" s="195">
        <f>'Khu C'!F116/2</f>
        <v>0</v>
      </c>
      <c r="F116" s="111">
        <f>IF(A116="điện",E116*2500,E116*15000)</f>
        <v>0</v>
      </c>
      <c r="G116" s="182"/>
      <c r="H116" s="25">
        <f t="shared" si="2"/>
        <v>0</v>
      </c>
      <c r="I116" s="191">
        <f>'Khu C'!G116</f>
        <v>0</v>
      </c>
      <c r="J116" s="25">
        <f t="shared" si="3"/>
        <v>0</v>
      </c>
      <c r="K116" s="187"/>
      <c r="L116" s="187"/>
      <c r="M116" s="187"/>
      <c r="N116" s="187"/>
    </row>
    <row r="117" spans="1:14" s="192" customFormat="1" ht="23.25" customHeight="1" x14ac:dyDescent="0.3">
      <c r="A117" s="206" t="s">
        <v>305</v>
      </c>
      <c r="B117" s="208"/>
      <c r="C117" s="208"/>
      <c r="D117" s="208"/>
      <c r="E117" s="214"/>
      <c r="F117" s="181"/>
      <c r="G117" s="207">
        <f>IF(D118=0,0,IF(D115=0,SUM(F118:F119)+F115,SUM(F118:F119)))</f>
        <v>0</v>
      </c>
      <c r="H117" s="25">
        <f t="shared" si="2"/>
        <v>0</v>
      </c>
      <c r="I117" s="191">
        <f>'Khu C'!G117</f>
        <v>0</v>
      </c>
      <c r="J117" s="25">
        <f t="shared" si="3"/>
        <v>0</v>
      </c>
      <c r="K117" s="204"/>
      <c r="L117" s="204"/>
      <c r="M117" s="204"/>
      <c r="N117" s="204"/>
    </row>
    <row r="118" spans="1:14" s="191" customFormat="1" ht="16.5" x14ac:dyDescent="0.25">
      <c r="A118" s="193" t="s">
        <v>6</v>
      </c>
      <c r="B118" s="193">
        <v>202</v>
      </c>
      <c r="C118" s="193">
        <v>202</v>
      </c>
      <c r="D118" s="287">
        <f>VLOOKUP(RIGHT(LEFT(A117,11),4),'so nguoi'!$E$8:$N$21,2,0)</f>
        <v>0</v>
      </c>
      <c r="E118" s="195">
        <f>'Khu C'!F118/2</f>
        <v>0</v>
      </c>
      <c r="F118" s="111">
        <f>IF(A118="điện",E118*2500,E118*15000)</f>
        <v>0</v>
      </c>
      <c r="G118" s="118"/>
      <c r="H118" s="25">
        <f t="shared" si="2"/>
        <v>0</v>
      </c>
      <c r="I118" s="191">
        <f>'Khu C'!G118</f>
        <v>0</v>
      </c>
      <c r="J118" s="25">
        <f t="shared" si="3"/>
        <v>0</v>
      </c>
      <c r="K118" s="199"/>
      <c r="L118" s="199"/>
      <c r="M118" s="199"/>
      <c r="N118" s="199"/>
    </row>
    <row r="119" spans="1:14" s="189" customFormat="1" ht="16.5" x14ac:dyDescent="0.25">
      <c r="A119" s="196" t="s">
        <v>7</v>
      </c>
      <c r="B119" s="196">
        <f>B116</f>
        <v>198</v>
      </c>
      <c r="C119" s="196">
        <f>C116</f>
        <v>220</v>
      </c>
      <c r="D119" s="287"/>
      <c r="E119" s="195">
        <f>'Khu C'!F119/2</f>
        <v>0</v>
      </c>
      <c r="F119" s="111">
        <f>IF(A119="điện",E119*2500,E119*15000)</f>
        <v>0</v>
      </c>
      <c r="G119" s="182"/>
      <c r="H119" s="25">
        <f t="shared" si="2"/>
        <v>0</v>
      </c>
      <c r="I119" s="191">
        <f>'Khu C'!G119</f>
        <v>0</v>
      </c>
      <c r="J119" s="25">
        <f t="shared" si="3"/>
        <v>0</v>
      </c>
      <c r="K119" s="187"/>
      <c r="L119" s="187"/>
      <c r="M119" s="187"/>
      <c r="N119" s="187"/>
    </row>
    <row r="120" spans="1:14" s="192" customFormat="1" ht="23.25" customHeight="1" x14ac:dyDescent="0.3">
      <c r="A120" s="206" t="s">
        <v>306</v>
      </c>
      <c r="B120" s="208"/>
      <c r="C120" s="208"/>
      <c r="D120" s="208"/>
      <c r="E120" s="214"/>
      <c r="F120" s="181"/>
      <c r="G120" s="207">
        <f>IF(D121=0,0,IF(D124=0,SUM(F121:F122)+F124,SUM(F121:F122)))</f>
        <v>0</v>
      </c>
      <c r="H120" s="25">
        <f t="shared" si="2"/>
        <v>0</v>
      </c>
      <c r="I120" s="191">
        <f>'Khu C'!G120</f>
        <v>0</v>
      </c>
      <c r="J120" s="25">
        <f t="shared" si="3"/>
        <v>0</v>
      </c>
      <c r="K120" s="204"/>
      <c r="L120" s="204"/>
      <c r="M120" s="204"/>
      <c r="N120" s="204"/>
    </row>
    <row r="121" spans="1:14" s="191" customFormat="1" ht="16.5" x14ac:dyDescent="0.25">
      <c r="A121" s="193" t="s">
        <v>6</v>
      </c>
      <c r="B121" s="193">
        <v>202</v>
      </c>
      <c r="C121" s="193">
        <v>202</v>
      </c>
      <c r="D121" s="287">
        <f>VLOOKUP(RIGHT(LEFT(A120,11),4),'so nguoi'!$E$8:$N$21,2,0)</f>
        <v>0</v>
      </c>
      <c r="E121" s="195">
        <f>'Khu C'!F121/2</f>
        <v>0</v>
      </c>
      <c r="F121" s="111">
        <f>IF(A121="điện",E121*2500,E121*15000)</f>
        <v>0</v>
      </c>
      <c r="G121" s="118"/>
      <c r="H121" s="25">
        <f t="shared" si="2"/>
        <v>0</v>
      </c>
      <c r="I121" s="191">
        <f>'Khu C'!G121</f>
        <v>0</v>
      </c>
      <c r="J121" s="25">
        <f t="shared" si="3"/>
        <v>0</v>
      </c>
      <c r="K121" s="199"/>
      <c r="L121" s="199"/>
      <c r="M121" s="199"/>
      <c r="N121" s="199"/>
    </row>
    <row r="122" spans="1:14" s="189" customFormat="1" ht="16.5" x14ac:dyDescent="0.25">
      <c r="A122" s="196" t="s">
        <v>7</v>
      </c>
      <c r="B122" s="196">
        <f>B119</f>
        <v>198</v>
      </c>
      <c r="C122" s="196">
        <f>C119</f>
        <v>220</v>
      </c>
      <c r="D122" s="287"/>
      <c r="E122" s="195">
        <f>'Khu C'!F122/2</f>
        <v>0</v>
      </c>
      <c r="F122" s="111">
        <f>IF(A122="điện",E122*2500,E122*15000)</f>
        <v>0</v>
      </c>
      <c r="G122" s="182"/>
      <c r="H122" s="25">
        <f t="shared" si="2"/>
        <v>0</v>
      </c>
      <c r="I122" s="191">
        <f>'Khu C'!G122</f>
        <v>0</v>
      </c>
      <c r="J122" s="25">
        <f t="shared" si="3"/>
        <v>0</v>
      </c>
      <c r="K122" s="187"/>
      <c r="L122" s="187"/>
      <c r="M122" s="187"/>
      <c r="N122" s="187"/>
    </row>
    <row r="123" spans="1:14" s="192" customFormat="1" ht="23.25" customHeight="1" x14ac:dyDescent="0.3">
      <c r="A123" s="206" t="s">
        <v>307</v>
      </c>
      <c r="B123" s="208"/>
      <c r="C123" s="208"/>
      <c r="D123" s="208"/>
      <c r="E123" s="214"/>
      <c r="F123" s="181"/>
      <c r="G123" s="207">
        <f>IF(D124=0,0,IF(D121=0,SUM(F124:F125)+F121,SUM(F124:F125)))</f>
        <v>0</v>
      </c>
      <c r="H123" s="25">
        <f t="shared" si="2"/>
        <v>0</v>
      </c>
      <c r="I123" s="191">
        <f>'Khu C'!G123</f>
        <v>0</v>
      </c>
      <c r="J123" s="25">
        <f t="shared" si="3"/>
        <v>0</v>
      </c>
      <c r="K123" s="204"/>
      <c r="L123" s="204"/>
      <c r="M123" s="204"/>
      <c r="N123" s="204"/>
    </row>
    <row r="124" spans="1:14" s="191" customFormat="1" ht="16.5" x14ac:dyDescent="0.25">
      <c r="A124" s="193" t="s">
        <v>6</v>
      </c>
      <c r="B124" s="193">
        <v>202</v>
      </c>
      <c r="C124" s="193">
        <v>202</v>
      </c>
      <c r="D124" s="287">
        <f>VLOOKUP(RIGHT(LEFT(A123,11),4),'so nguoi'!$E$8:$N$25,2,0)</f>
        <v>0</v>
      </c>
      <c r="E124" s="195">
        <f>'Khu C'!F124/2</f>
        <v>0</v>
      </c>
      <c r="F124" s="111">
        <f>IF(A124="điện",E124*2500,E124*15000)</f>
        <v>0</v>
      </c>
      <c r="G124" s="118"/>
      <c r="H124" s="25">
        <f t="shared" si="2"/>
        <v>0</v>
      </c>
      <c r="I124" s="191">
        <f>'Khu C'!G124</f>
        <v>0</v>
      </c>
      <c r="J124" s="25">
        <f t="shared" si="3"/>
        <v>0</v>
      </c>
      <c r="K124" s="199"/>
      <c r="L124" s="199"/>
      <c r="M124" s="199"/>
      <c r="N124" s="199"/>
    </row>
    <row r="125" spans="1:14" s="189" customFormat="1" ht="16.5" x14ac:dyDescent="0.25">
      <c r="A125" s="196" t="s">
        <v>7</v>
      </c>
      <c r="B125" s="196">
        <f>B122</f>
        <v>198</v>
      </c>
      <c r="C125" s="196">
        <f>C122</f>
        <v>220</v>
      </c>
      <c r="D125" s="287"/>
      <c r="E125" s="195">
        <f>'Khu C'!F125/2</f>
        <v>0</v>
      </c>
      <c r="F125" s="111">
        <f>IF(A125="điện",E125*2500,E125*15000)</f>
        <v>0</v>
      </c>
      <c r="G125" s="182"/>
      <c r="H125" s="25">
        <f t="shared" si="2"/>
        <v>0</v>
      </c>
      <c r="I125" s="191">
        <f>'Khu C'!G125</f>
        <v>0</v>
      </c>
      <c r="J125" s="25">
        <f t="shared" si="3"/>
        <v>0</v>
      </c>
      <c r="K125" s="187"/>
      <c r="L125" s="187"/>
      <c r="M125" s="187"/>
      <c r="N125" s="187"/>
    </row>
    <row r="126" spans="1:14" s="192" customFormat="1" ht="23.25" customHeight="1" x14ac:dyDescent="0.3">
      <c r="A126" s="206" t="s">
        <v>308</v>
      </c>
      <c r="B126" s="208"/>
      <c r="C126" s="208"/>
      <c r="D126" s="208"/>
      <c r="E126" s="214"/>
      <c r="F126" s="181"/>
      <c r="G126" s="207">
        <f>SUM(F127:F128)</f>
        <v>431250</v>
      </c>
      <c r="H126" s="25">
        <f t="shared" si="2"/>
        <v>0</v>
      </c>
      <c r="I126" s="191">
        <f>'Khu C'!G126</f>
        <v>0</v>
      </c>
      <c r="J126" s="25">
        <f t="shared" si="3"/>
        <v>0</v>
      </c>
      <c r="K126" s="204"/>
      <c r="L126" s="204"/>
      <c r="M126" s="204"/>
      <c r="N126" s="204"/>
    </row>
    <row r="127" spans="1:14" s="191" customFormat="1" ht="16.5" x14ac:dyDescent="0.25">
      <c r="A127" s="193" t="s">
        <v>6</v>
      </c>
      <c r="B127" s="193">
        <v>202</v>
      </c>
      <c r="C127" s="193">
        <v>202</v>
      </c>
      <c r="D127" s="287">
        <f>VLOOKUP(RIGHT(LEFT(A126,11),4),'so nguoi'!$E$8:$N$25,2,0)</f>
        <v>5</v>
      </c>
      <c r="E127" s="195">
        <f>'Khu C'!F127/2</f>
        <v>46.5</v>
      </c>
      <c r="F127" s="111">
        <f>IF(A127="điện",E127*2500,E127*15000)</f>
        <v>116250</v>
      </c>
      <c r="G127" s="118"/>
      <c r="H127" s="25">
        <f t="shared" si="2"/>
        <v>232500</v>
      </c>
      <c r="I127" s="191">
        <f>'Khu C'!G127</f>
        <v>269700</v>
      </c>
      <c r="J127" s="25">
        <f t="shared" si="3"/>
        <v>37200</v>
      </c>
      <c r="K127" s="199"/>
      <c r="L127" s="199"/>
      <c r="M127" s="199"/>
      <c r="N127" s="199"/>
    </row>
    <row r="128" spans="1:14" s="189" customFormat="1" ht="16.5" x14ac:dyDescent="0.25">
      <c r="A128" s="196" t="s">
        <v>7</v>
      </c>
      <c r="B128" s="196">
        <f>B125</f>
        <v>198</v>
      </c>
      <c r="C128" s="196">
        <f>C125</f>
        <v>220</v>
      </c>
      <c r="D128" s="287"/>
      <c r="E128" s="195">
        <f>'Khu C'!F128/2</f>
        <v>17.5</v>
      </c>
      <c r="F128" s="111">
        <f>IF(A128="điện",E128*2500,E128*18000)</f>
        <v>315000</v>
      </c>
      <c r="G128" s="182"/>
      <c r="H128" s="25">
        <f t="shared" si="2"/>
        <v>630000</v>
      </c>
      <c r="I128" s="191">
        <f>'Khu C'!G128</f>
        <v>630000</v>
      </c>
      <c r="J128" s="25">
        <f t="shared" si="3"/>
        <v>0</v>
      </c>
      <c r="K128" s="187"/>
      <c r="L128" s="187"/>
      <c r="M128" s="187"/>
      <c r="N128" s="187"/>
    </row>
    <row r="129" spans="1:15" s="192" customFormat="1" ht="23.25" customHeight="1" x14ac:dyDescent="0.3">
      <c r="A129" s="206" t="s">
        <v>314</v>
      </c>
      <c r="B129" s="208"/>
      <c r="C129" s="208"/>
      <c r="D129" s="208"/>
      <c r="E129" s="214"/>
      <c r="F129" s="181"/>
      <c r="G129" s="215">
        <f>SUM(F130)</f>
        <v>0</v>
      </c>
      <c r="H129" s="25">
        <f t="shared" ref="H129:H130" si="4">F129*2</f>
        <v>0</v>
      </c>
      <c r="I129" s="191">
        <f>'Khu C'!G129</f>
        <v>0</v>
      </c>
      <c r="J129" s="25">
        <f t="shared" ref="J129:J130" si="5">I129-H129</f>
        <v>0</v>
      </c>
      <c r="K129" s="204"/>
      <c r="L129" s="204"/>
      <c r="M129" s="204"/>
      <c r="N129" s="204"/>
    </row>
    <row r="130" spans="1:15" s="191" customFormat="1" ht="16.5" x14ac:dyDescent="0.25">
      <c r="A130" s="193" t="s">
        <v>6</v>
      </c>
      <c r="B130" s="193">
        <v>202</v>
      </c>
      <c r="C130" s="193">
        <v>202</v>
      </c>
      <c r="D130" s="224">
        <v>1</v>
      </c>
      <c r="E130" s="195">
        <f>'Khu C'!F130/2</f>
        <v>0</v>
      </c>
      <c r="F130" s="111">
        <f>IF(A130="điện",E130*2500,E130*15000)</f>
        <v>0</v>
      </c>
      <c r="G130" s="118"/>
      <c r="H130" s="25">
        <f t="shared" si="4"/>
        <v>0</v>
      </c>
      <c r="I130" s="191">
        <f>'Khu C'!G130</f>
        <v>0</v>
      </c>
      <c r="J130" s="25">
        <f t="shared" si="5"/>
        <v>0</v>
      </c>
      <c r="K130" s="199"/>
      <c r="L130" s="199"/>
      <c r="M130" s="199"/>
      <c r="N130" s="199"/>
    </row>
    <row r="131" spans="1:15" s="192" customFormat="1" ht="23.25" customHeight="1" x14ac:dyDescent="0.3">
      <c r="A131" s="206" t="s">
        <v>315</v>
      </c>
      <c r="B131" s="208"/>
      <c r="C131" s="208"/>
      <c r="D131" s="208"/>
      <c r="E131" s="214"/>
      <c r="F131" s="181"/>
      <c r="G131" s="215">
        <f>SUM(F132)</f>
        <v>0</v>
      </c>
      <c r="H131" s="25">
        <f t="shared" si="2"/>
        <v>0</v>
      </c>
      <c r="I131" s="191">
        <f>'Khu C'!G131</f>
        <v>0</v>
      </c>
      <c r="J131" s="25">
        <f t="shared" si="3"/>
        <v>0</v>
      </c>
      <c r="K131" s="204"/>
      <c r="L131" s="204"/>
      <c r="M131" s="204"/>
      <c r="N131" s="204"/>
    </row>
    <row r="132" spans="1:15" s="191" customFormat="1" ht="16.5" x14ac:dyDescent="0.25">
      <c r="A132" s="193" t="s">
        <v>6</v>
      </c>
      <c r="B132" s="193">
        <v>202</v>
      </c>
      <c r="C132" s="193">
        <v>202</v>
      </c>
      <c r="D132" s="224">
        <v>1</v>
      </c>
      <c r="E132" s="195">
        <f>'Khu C'!F132/2</f>
        <v>0</v>
      </c>
      <c r="F132" s="111">
        <f>IF(A132="điện",E132*2500,E132*15000)</f>
        <v>0</v>
      </c>
      <c r="G132" s="118"/>
      <c r="H132" s="25">
        <f t="shared" si="2"/>
        <v>0</v>
      </c>
      <c r="I132" s="191">
        <f>'Khu C'!G132</f>
        <v>0</v>
      </c>
      <c r="J132" s="25">
        <f t="shared" si="3"/>
        <v>0</v>
      </c>
      <c r="K132" s="199"/>
      <c r="L132" s="199"/>
      <c r="M132" s="199"/>
      <c r="N132" s="199"/>
    </row>
    <row r="133" spans="1:15" s="192" customFormat="1" ht="23.25" customHeight="1" x14ac:dyDescent="0.3">
      <c r="A133" s="206" t="s">
        <v>291</v>
      </c>
      <c r="B133" s="208"/>
      <c r="C133" s="208"/>
      <c r="D133" s="208"/>
      <c r="E133" s="209"/>
      <c r="F133" s="162"/>
      <c r="G133" s="215">
        <f>SUM(F134:F135)</f>
        <v>61000</v>
      </c>
      <c r="H133" s="25">
        <f t="shared" si="2"/>
        <v>0</v>
      </c>
      <c r="I133" s="191">
        <f>'Khu C'!G133</f>
        <v>0</v>
      </c>
      <c r="J133" s="25">
        <f t="shared" si="3"/>
        <v>0</v>
      </c>
      <c r="K133" s="204"/>
      <c r="L133" s="204"/>
      <c r="M133" s="204"/>
      <c r="N133" s="204"/>
      <c r="O133" s="204"/>
    </row>
    <row r="134" spans="1:15" s="191" customFormat="1" ht="16.5" x14ac:dyDescent="0.25">
      <c r="A134" s="193" t="s">
        <v>6</v>
      </c>
      <c r="B134" s="193">
        <v>338</v>
      </c>
      <c r="C134" s="193">
        <f>+B134+125</f>
        <v>463</v>
      </c>
      <c r="D134" s="287">
        <f>VLOOKUP(RIGHT(LEFT(A133,11),4),'so nguoi'!$E$8:$N$25,2,0)</f>
        <v>1</v>
      </c>
      <c r="E134" s="195">
        <f>'Khu C'!F134/2</f>
        <v>10</v>
      </c>
      <c r="F134" s="111">
        <f>IF(A134="điện",E134*2500,E134*15000)</f>
        <v>25000</v>
      </c>
      <c r="G134" s="111">
        <f>F134*$L$1</f>
        <v>0</v>
      </c>
      <c r="H134" s="25">
        <f t="shared" si="2"/>
        <v>50000</v>
      </c>
      <c r="I134" s="191">
        <f>'Khu C'!G134</f>
        <v>58000</v>
      </c>
      <c r="J134" s="25">
        <f t="shared" si="3"/>
        <v>8000</v>
      </c>
      <c r="K134" s="199"/>
      <c r="L134" s="199"/>
      <c r="M134" s="199"/>
      <c r="N134" s="199"/>
      <c r="O134" s="199"/>
    </row>
    <row r="135" spans="1:15" s="59" customFormat="1" ht="16.5" x14ac:dyDescent="0.25">
      <c r="A135" s="196" t="s">
        <v>7</v>
      </c>
      <c r="B135" s="213">
        <v>676</v>
      </c>
      <c r="C135" s="213">
        <v>678</v>
      </c>
      <c r="D135" s="287"/>
      <c r="E135" s="195">
        <f>'Khu C'!F135/2</f>
        <v>2</v>
      </c>
      <c r="F135" s="111">
        <f>IF(A135="điện",E135*2500,E135*18000)</f>
        <v>36000</v>
      </c>
      <c r="G135" s="220">
        <f>F135*$L$2</f>
        <v>0</v>
      </c>
      <c r="H135" s="25">
        <f t="shared" si="2"/>
        <v>72000</v>
      </c>
      <c r="I135" s="191">
        <f>'Khu C'!G135</f>
        <v>72000</v>
      </c>
      <c r="J135" s="25">
        <f t="shared" si="3"/>
        <v>0</v>
      </c>
      <c r="K135" s="156"/>
      <c r="L135" s="156"/>
      <c r="M135" s="156"/>
      <c r="N135" s="156"/>
      <c r="O135" s="156"/>
    </row>
    <row r="136" spans="1:15" s="192" customFormat="1" ht="23.25" customHeight="1" x14ac:dyDescent="0.3">
      <c r="A136" s="206" t="s">
        <v>311</v>
      </c>
      <c r="B136" s="208"/>
      <c r="C136" s="208"/>
      <c r="D136" s="208"/>
      <c r="E136" s="209"/>
      <c r="F136" s="162"/>
      <c r="G136" s="215">
        <f>SUM(F137:F138)</f>
        <v>43000</v>
      </c>
      <c r="H136" s="25">
        <f t="shared" si="2"/>
        <v>0</v>
      </c>
      <c r="I136" s="191">
        <f>'Khu C'!G136</f>
        <v>0</v>
      </c>
      <c r="J136" s="25">
        <f t="shared" si="3"/>
        <v>0</v>
      </c>
      <c r="K136" s="204"/>
      <c r="L136" s="204"/>
      <c r="M136" s="204"/>
      <c r="N136" s="204"/>
      <c r="O136" s="204"/>
    </row>
    <row r="137" spans="1:15" s="191" customFormat="1" ht="16.5" x14ac:dyDescent="0.25">
      <c r="A137" s="193" t="s">
        <v>6</v>
      </c>
      <c r="B137" s="193">
        <v>924</v>
      </c>
      <c r="C137" s="193">
        <v>988</v>
      </c>
      <c r="D137" s="287">
        <f>VLOOKUP(RIGHT(LEFT(A136,11),4),'so nguoi'!$E$8:$N$25,2,0)</f>
        <v>1</v>
      </c>
      <c r="E137" s="195">
        <f>'Khu C'!F137/2</f>
        <v>10</v>
      </c>
      <c r="F137" s="111">
        <f>IF(A137="điện",E137*2500,E137*15000)</f>
        <v>25000</v>
      </c>
      <c r="G137" s="111">
        <f>F137*$L$1</f>
        <v>0</v>
      </c>
      <c r="H137" s="25">
        <f t="shared" si="2"/>
        <v>50000</v>
      </c>
      <c r="I137" s="191">
        <f>'Khu C'!G137</f>
        <v>58000</v>
      </c>
      <c r="J137" s="25">
        <f t="shared" si="3"/>
        <v>8000</v>
      </c>
      <c r="K137" s="199"/>
      <c r="L137" s="199"/>
      <c r="M137" s="199"/>
      <c r="N137" s="199"/>
      <c r="O137" s="199"/>
    </row>
    <row r="138" spans="1:15" s="59" customFormat="1" ht="16.5" x14ac:dyDescent="0.25">
      <c r="A138" s="196" t="s">
        <v>7</v>
      </c>
      <c r="B138" s="213" t="e">
        <f>#REF!</f>
        <v>#REF!</v>
      </c>
      <c r="C138" s="213" t="e">
        <f>#REF!</f>
        <v>#REF!</v>
      </c>
      <c r="D138" s="287"/>
      <c r="E138" s="195">
        <f>'Khu C'!F138/2</f>
        <v>1</v>
      </c>
      <c r="F138" s="111">
        <f>IF(A138="điện",E138*2500,E138*18000)</f>
        <v>18000</v>
      </c>
      <c r="G138" s="220">
        <f>F138*$L$2</f>
        <v>0</v>
      </c>
      <c r="H138" s="25">
        <f t="shared" ref="H138" si="6">F138*2</f>
        <v>36000</v>
      </c>
      <c r="I138" s="191">
        <f>'Khu C'!G138</f>
        <v>36000</v>
      </c>
      <c r="J138" s="25">
        <f t="shared" si="3"/>
        <v>0</v>
      </c>
      <c r="K138" s="156"/>
      <c r="L138" s="156"/>
      <c r="M138" s="156"/>
      <c r="N138" s="156"/>
      <c r="O138" s="156"/>
    </row>
    <row r="139" spans="1:15" s="192" customFormat="1" ht="23.25" customHeight="1" x14ac:dyDescent="0.3">
      <c r="A139" s="206" t="s">
        <v>313</v>
      </c>
      <c r="B139" s="208"/>
      <c r="C139" s="208"/>
      <c r="D139" s="208"/>
      <c r="E139" s="209"/>
      <c r="F139" s="162"/>
      <c r="G139" s="215">
        <f>SUM(F140:F141)</f>
        <v>0</v>
      </c>
      <c r="H139" s="25">
        <f>SUM(G9:G139)</f>
        <v>10644450</v>
      </c>
      <c r="I139" s="191">
        <f>'Khu C'!G139</f>
        <v>0</v>
      </c>
      <c r="J139" s="25">
        <f t="shared" si="3"/>
        <v>-10644450</v>
      </c>
      <c r="K139" s="204"/>
      <c r="L139" s="204"/>
      <c r="M139" s="204"/>
      <c r="N139" s="204"/>
      <c r="O139" s="204"/>
    </row>
    <row r="140" spans="1:15" s="191" customFormat="1" ht="16.5" x14ac:dyDescent="0.25">
      <c r="A140" s="193" t="s">
        <v>6</v>
      </c>
      <c r="B140" s="193">
        <f>+B137</f>
        <v>924</v>
      </c>
      <c r="C140" s="193">
        <f>+C137</f>
        <v>988</v>
      </c>
      <c r="D140" s="287">
        <f>VLOOKUP(RIGHT(LEFT(A139,11),4),'so nguoi'!$E$8:$N$25,2,0)</f>
        <v>1</v>
      </c>
      <c r="E140" s="195">
        <f>'Khu C'!F140/2</f>
        <v>0</v>
      </c>
      <c r="F140" s="111">
        <f>IF(A140="điện",E140*2500,E140*15000)</f>
        <v>0</v>
      </c>
      <c r="G140" s="111">
        <f>F140*$L$1</f>
        <v>0</v>
      </c>
      <c r="H140" s="118"/>
      <c r="I140" s="200"/>
      <c r="J140" s="199"/>
      <c r="K140" s="199"/>
      <c r="L140" s="199"/>
      <c r="M140" s="199"/>
      <c r="N140" s="199"/>
      <c r="O140" s="199"/>
    </row>
    <row r="141" spans="1:15" s="59" customFormat="1" ht="16.5" x14ac:dyDescent="0.25">
      <c r="A141" s="213" t="s">
        <v>7</v>
      </c>
      <c r="B141" s="213">
        <f>B135</f>
        <v>676</v>
      </c>
      <c r="C141" s="213">
        <f>C135</f>
        <v>678</v>
      </c>
      <c r="D141" s="287"/>
      <c r="E141" s="195">
        <f>'Khu C'!F141/2</f>
        <v>0</v>
      </c>
      <c r="F141" s="111">
        <f>IF(A141="điện",E141*2500,E141*15000)</f>
        <v>0</v>
      </c>
      <c r="G141" s="220">
        <f>F141*$L$2</f>
        <v>0</v>
      </c>
      <c r="H141" s="182"/>
      <c r="I141" s="154" t="e">
        <f>SUM(H10:H141)</f>
        <v>#VALUE!</v>
      </c>
      <c r="J141" s="156"/>
      <c r="K141" s="156"/>
      <c r="L141" s="156"/>
      <c r="M141" s="156"/>
      <c r="N141" s="156"/>
      <c r="O141" s="156"/>
    </row>
    <row r="142" spans="1:15" x14ac:dyDescent="0.25">
      <c r="A142" s="185" t="s">
        <v>13</v>
      </c>
      <c r="B142" s="186"/>
      <c r="C142" s="186"/>
      <c r="D142" s="186"/>
      <c r="E142" s="186"/>
      <c r="F142" s="73">
        <f ca="1">SUMIF($A$8:$F$141,"Điện",F8:F141)</f>
        <v>4366250</v>
      </c>
      <c r="G142" s="73">
        <f ca="1">SUMIF($A$8:$F$141,"Điện",E8:E141)</f>
        <v>1746.5</v>
      </c>
      <c r="H142" s="73">
        <f ca="1">F142*2</f>
        <v>8732500</v>
      </c>
      <c r="I142" s="121">
        <f ca="1">'Khu C'!G142</f>
        <v>10129700</v>
      </c>
      <c r="J142" s="205">
        <f ca="1">G142*2200</f>
        <v>3842300</v>
      </c>
      <c r="K142" s="75"/>
      <c r="L142" s="75"/>
      <c r="M142" s="75"/>
      <c r="N142" s="75"/>
      <c r="O142" s="75"/>
    </row>
    <row r="143" spans="1:15" x14ac:dyDescent="0.25">
      <c r="A143" s="185" t="s">
        <v>14</v>
      </c>
      <c r="B143" s="186"/>
      <c r="C143" s="186"/>
      <c r="D143" s="186"/>
      <c r="E143" s="186"/>
      <c r="F143" s="73">
        <f ca="1">SUMIF($A$8:$F$141,"Nước",F8:F141)</f>
        <v>6278200</v>
      </c>
      <c r="G143" s="73">
        <f ca="1">SUMIF($A$9:$E$141,A116,$E$9:$E$141)</f>
        <v>355</v>
      </c>
      <c r="H143" s="73">
        <f ca="1">+F143*2</f>
        <v>12556400</v>
      </c>
      <c r="I143" s="205">
        <f ca="1">'Khu C'!G143</f>
        <v>12780000</v>
      </c>
      <c r="J143" s="205">
        <f ca="1">G143*15000</f>
        <v>5325000</v>
      </c>
      <c r="K143" s="75"/>
      <c r="L143" s="75"/>
      <c r="M143" s="75"/>
      <c r="N143" s="75"/>
      <c r="O143" s="75"/>
    </row>
    <row r="144" spans="1:15" x14ac:dyDescent="0.25">
      <c r="A144" s="185" t="s">
        <v>15</v>
      </c>
      <c r="B144" s="186"/>
      <c r="C144" s="186"/>
      <c r="D144" s="186"/>
      <c r="E144" s="186"/>
      <c r="F144" s="73">
        <f ca="1">SUM(F142:F143)</f>
        <v>10644450</v>
      </c>
      <c r="G144" s="74"/>
      <c r="H144" s="74"/>
      <c r="I144" s="121"/>
      <c r="J144" s="121"/>
      <c r="K144" s="75"/>
      <c r="L144" s="75"/>
      <c r="M144" s="75"/>
      <c r="N144" s="75"/>
      <c r="O144" s="75"/>
    </row>
    <row r="145" spans="1:14" ht="7.5" customHeight="1" x14ac:dyDescent="0.25"/>
    <row r="146" spans="1:14" x14ac:dyDescent="0.25">
      <c r="A146" s="75"/>
      <c r="B146" s="75"/>
      <c r="C146" s="75"/>
      <c r="D146" s="77"/>
      <c r="E146" s="183"/>
      <c r="F146" s="288" t="s">
        <v>365</v>
      </c>
      <c r="G146" s="288"/>
      <c r="H146" s="81"/>
      <c r="I146" s="121"/>
      <c r="J146" s="121"/>
      <c r="K146" s="75"/>
      <c r="L146" s="75"/>
      <c r="M146" s="75"/>
      <c r="N146" s="75"/>
    </row>
    <row r="147" spans="1:14" x14ac:dyDescent="0.25">
      <c r="A147" s="282" t="s">
        <v>17</v>
      </c>
      <c r="B147" s="282"/>
      <c r="C147" s="282"/>
      <c r="D147" s="282"/>
      <c r="F147" s="283" t="s">
        <v>16</v>
      </c>
      <c r="G147" s="283"/>
      <c r="H147" s="81"/>
      <c r="I147" s="121"/>
      <c r="J147" s="75"/>
      <c r="K147" s="75"/>
      <c r="L147" s="75"/>
      <c r="M147" s="75"/>
      <c r="N147" s="75"/>
    </row>
    <row r="148" spans="1:14" x14ac:dyDescent="0.25">
      <c r="A148" s="75"/>
      <c r="B148" s="75"/>
      <c r="C148" s="75"/>
      <c r="D148" s="77"/>
      <c r="E148" s="79"/>
      <c r="F148" s="180"/>
      <c r="G148" s="81"/>
      <c r="H148" s="50"/>
      <c r="I148" s="25">
        <f ca="1">F144*2</f>
        <v>21288900</v>
      </c>
    </row>
    <row r="149" spans="1:14" x14ac:dyDescent="0.25">
      <c r="A149" s="75"/>
      <c r="B149" s="75"/>
      <c r="C149" s="75"/>
      <c r="D149" s="77"/>
      <c r="E149" s="79"/>
      <c r="F149" s="78"/>
      <c r="G149" s="75"/>
      <c r="H149" s="50"/>
    </row>
    <row r="150" spans="1:14" x14ac:dyDescent="0.25">
      <c r="A150" s="75"/>
      <c r="B150" s="75"/>
      <c r="C150" s="75"/>
      <c r="D150" s="77"/>
      <c r="E150" s="79"/>
      <c r="F150" s="82"/>
      <c r="G150" s="75"/>
      <c r="H150" s="50"/>
    </row>
    <row r="151" spans="1:14" x14ac:dyDescent="0.25">
      <c r="A151" s="290" t="s">
        <v>319</v>
      </c>
      <c r="B151" s="290"/>
      <c r="C151" s="290"/>
      <c r="D151" s="290"/>
      <c r="E151" s="184"/>
      <c r="F151" s="289" t="s">
        <v>207</v>
      </c>
      <c r="G151" s="289"/>
      <c r="H151" s="50"/>
    </row>
    <row r="152" spans="1:14" ht="24.4" customHeight="1" x14ac:dyDescent="0.25">
      <c r="A152" s="1"/>
      <c r="D152" s="4"/>
      <c r="E152" s="21"/>
      <c r="F152" s="3"/>
    </row>
  </sheetData>
  <mergeCells count="52">
    <mergeCell ref="D118:D119"/>
    <mergeCell ref="D121:D122"/>
    <mergeCell ref="D124:D125"/>
    <mergeCell ref="D127:D128"/>
    <mergeCell ref="D140:D141"/>
    <mergeCell ref="D134:D135"/>
    <mergeCell ref="D137:D138"/>
    <mergeCell ref="A1:G1"/>
    <mergeCell ref="A2:G2"/>
    <mergeCell ref="A5:G5"/>
    <mergeCell ref="D10:D11"/>
    <mergeCell ref="D13:D14"/>
    <mergeCell ref="A4:G4"/>
    <mergeCell ref="D49:D50"/>
    <mergeCell ref="D16:D17"/>
    <mergeCell ref="D19:D20"/>
    <mergeCell ref="D22:D23"/>
    <mergeCell ref="D25:D26"/>
    <mergeCell ref="D28:D29"/>
    <mergeCell ref="D31:D32"/>
    <mergeCell ref="D34:D35"/>
    <mergeCell ref="D37:D38"/>
    <mergeCell ref="D40:D41"/>
    <mergeCell ref="D43:D44"/>
    <mergeCell ref="D46:D47"/>
    <mergeCell ref="D88:D89"/>
    <mergeCell ref="D52:D53"/>
    <mergeCell ref="D55:D56"/>
    <mergeCell ref="D58:D59"/>
    <mergeCell ref="D61:D62"/>
    <mergeCell ref="D64:D65"/>
    <mergeCell ref="D67:D68"/>
    <mergeCell ref="D70:D71"/>
    <mergeCell ref="D73:D74"/>
    <mergeCell ref="D76:D77"/>
    <mergeCell ref="D79:D80"/>
    <mergeCell ref="D82:D83"/>
    <mergeCell ref="D85:D86"/>
    <mergeCell ref="D109:D110"/>
    <mergeCell ref="D112:D113"/>
    <mergeCell ref="D115:D116"/>
    <mergeCell ref="D91:D92"/>
    <mergeCell ref="D94:D95"/>
    <mergeCell ref="D97:D98"/>
    <mergeCell ref="D100:D101"/>
    <mergeCell ref="D103:D104"/>
    <mergeCell ref="D106:D107"/>
    <mergeCell ref="F146:G146"/>
    <mergeCell ref="F147:G147"/>
    <mergeCell ref="F151:G151"/>
    <mergeCell ref="A147:D147"/>
    <mergeCell ref="A151:D151"/>
  </mergeCells>
  <pageMargins left="0.51" right="0.22" top="0.44" bottom="0.36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view="pageBreakPreview" zoomScaleNormal="100" zoomScaleSheetLayoutView="100" workbookViewId="0">
      <selection activeCell="AA144" sqref="AA144"/>
    </sheetView>
  </sheetViews>
  <sheetFormatPr defaultRowHeight="15" x14ac:dyDescent="0.25"/>
  <cols>
    <col min="1" max="1" width="15.140625" customWidth="1"/>
    <col min="2" max="2" width="8.28515625" customWidth="1"/>
    <col min="3" max="3" width="8.7109375" customWidth="1"/>
    <col min="4" max="4" width="7.140625" style="4" customWidth="1"/>
    <col min="5" max="5" width="7.5703125" style="3" customWidth="1"/>
    <col min="6" max="6" width="12.85546875" style="21" customWidth="1"/>
    <col min="7" max="7" width="23" style="3" customWidth="1"/>
    <col min="8" max="8" width="18.5703125" customWidth="1"/>
    <col min="9" max="9" width="14.28515625" style="50" hidden="1" customWidth="1"/>
    <col min="10" max="10" width="14.28515625" hidden="1" customWidth="1"/>
    <col min="11" max="11" width="8.28515625" hidden="1" customWidth="1"/>
    <col min="12" max="12" width="9.85546875" hidden="1" customWidth="1"/>
    <col min="13" max="13" width="10.5703125" hidden="1" customWidth="1"/>
    <col min="14" max="14" width="13.28515625" hidden="1" customWidth="1"/>
    <col min="15" max="15" width="18.140625" hidden="1" customWidth="1"/>
    <col min="16" max="21" width="0" hidden="1" customWidth="1"/>
  </cols>
  <sheetData>
    <row r="1" spans="1:15" ht="15.75" x14ac:dyDescent="0.25">
      <c r="A1" s="122" t="s">
        <v>192</v>
      </c>
      <c r="B1" s="122"/>
      <c r="C1" s="122"/>
      <c r="D1" s="122"/>
      <c r="E1" s="122"/>
      <c r="F1" s="122"/>
      <c r="G1" s="122"/>
      <c r="H1" s="122"/>
      <c r="K1" t="s">
        <v>150</v>
      </c>
      <c r="L1" s="30" t="s">
        <v>359</v>
      </c>
    </row>
    <row r="2" spans="1:15" ht="15.75" x14ac:dyDescent="0.25">
      <c r="A2" s="298" t="s">
        <v>193</v>
      </c>
      <c r="B2" s="298"/>
      <c r="C2" s="298"/>
      <c r="D2" s="298"/>
      <c r="E2" s="298"/>
      <c r="F2" s="298"/>
      <c r="G2" s="298"/>
      <c r="H2" s="298"/>
      <c r="K2" t="s">
        <v>9</v>
      </c>
      <c r="L2">
        <v>2900</v>
      </c>
    </row>
    <row r="3" spans="1:15" x14ac:dyDescent="0.25">
      <c r="A3" s="75"/>
      <c r="B3" s="75"/>
      <c r="C3" s="75"/>
      <c r="D3" s="77"/>
      <c r="E3" s="78"/>
      <c r="F3" s="79"/>
      <c r="G3" s="78"/>
      <c r="H3" s="75"/>
      <c r="K3" t="s">
        <v>10</v>
      </c>
      <c r="L3">
        <v>18000</v>
      </c>
    </row>
    <row r="4" spans="1:15" ht="16.5" x14ac:dyDescent="0.25">
      <c r="A4" s="286" t="s">
        <v>363</v>
      </c>
      <c r="B4" s="286"/>
      <c r="C4" s="286"/>
      <c r="D4" s="286"/>
      <c r="E4" s="286"/>
      <c r="F4" s="286"/>
      <c r="G4" s="286"/>
      <c r="H4" s="286"/>
      <c r="J4" t="s">
        <v>63</v>
      </c>
      <c r="K4" t="s">
        <v>149</v>
      </c>
      <c r="L4" t="s">
        <v>61</v>
      </c>
      <c r="M4" t="s">
        <v>62</v>
      </c>
      <c r="N4" t="s">
        <v>147</v>
      </c>
      <c r="O4" t="s">
        <v>148</v>
      </c>
    </row>
    <row r="5" spans="1:15" ht="16.5" x14ac:dyDescent="0.25">
      <c r="A5" s="277"/>
      <c r="B5" s="277"/>
      <c r="C5" s="277"/>
      <c r="D5" s="277"/>
      <c r="E5" s="277"/>
      <c r="F5" s="277"/>
      <c r="G5" s="277"/>
      <c r="H5" s="277"/>
      <c r="J5" s="63" t="s">
        <v>60</v>
      </c>
      <c r="K5" s="191">
        <v>441</v>
      </c>
      <c r="L5" s="191">
        <v>456</v>
      </c>
      <c r="M5">
        <f>L5-K5</f>
        <v>15</v>
      </c>
      <c r="N5" s="72">
        <v>26</v>
      </c>
      <c r="O5">
        <f>M5/N5</f>
        <v>0.57692307692307687</v>
      </c>
    </row>
    <row r="6" spans="1:15" ht="18" customHeight="1" x14ac:dyDescent="0.25">
      <c r="A6" s="75"/>
      <c r="B6" s="75"/>
      <c r="C6" s="75"/>
      <c r="D6" s="77"/>
      <c r="E6" s="78"/>
      <c r="G6" s="114" t="s">
        <v>357</v>
      </c>
      <c r="H6" s="114"/>
      <c r="I6" s="108"/>
      <c r="J6" t="s">
        <v>64</v>
      </c>
      <c r="K6" s="191">
        <v>405</v>
      </c>
      <c r="L6" s="191">
        <v>405</v>
      </c>
      <c r="M6">
        <f t="shared" ref="M6:M10" si="0">L6-K6</f>
        <v>0</v>
      </c>
      <c r="N6" s="72">
        <v>26</v>
      </c>
      <c r="O6">
        <f t="shared" ref="O6:O10" si="1">M6/N6</f>
        <v>0</v>
      </c>
    </row>
    <row r="7" spans="1:15" ht="18.75" customHeight="1" x14ac:dyDescent="0.25">
      <c r="A7" s="75"/>
      <c r="B7" s="75"/>
      <c r="C7" s="75"/>
      <c r="D7" s="77"/>
      <c r="E7" s="78"/>
      <c r="G7" s="123" t="s">
        <v>362</v>
      </c>
      <c r="H7" s="114"/>
      <c r="I7" s="108"/>
      <c r="J7" t="s">
        <v>65</v>
      </c>
      <c r="K7" s="191">
        <v>441</v>
      </c>
      <c r="L7" s="191">
        <v>456</v>
      </c>
      <c r="M7">
        <f t="shared" si="0"/>
        <v>15</v>
      </c>
      <c r="N7" s="72">
        <f>SUM('so nguoi'!J8:J13)</f>
        <v>0</v>
      </c>
      <c r="O7" t="e">
        <f t="shared" si="1"/>
        <v>#DIV/0!</v>
      </c>
    </row>
    <row r="8" spans="1:15" ht="34.5" customHeight="1" x14ac:dyDescent="0.25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66</v>
      </c>
      <c r="K8" s="191">
        <v>298</v>
      </c>
      <c r="L8" s="191">
        <v>298</v>
      </c>
      <c r="M8">
        <f t="shared" si="0"/>
        <v>0</v>
      </c>
      <c r="N8">
        <f>SUM('so nguoi'!J14:J18)</f>
        <v>0</v>
      </c>
      <c r="O8" t="e">
        <f t="shared" si="1"/>
        <v>#DIV/0!</v>
      </c>
    </row>
    <row r="9" spans="1:15" s="2" customFormat="1" ht="24.75" customHeight="1" x14ac:dyDescent="0.3">
      <c r="A9" s="159" t="s">
        <v>38</v>
      </c>
      <c r="B9" s="159"/>
      <c r="C9" s="159"/>
      <c r="D9" s="159"/>
      <c r="E9" s="234"/>
      <c r="F9" s="235"/>
      <c r="G9" s="247"/>
      <c r="H9" s="248">
        <f>SUM(G10:G12)</f>
        <v>897507.69230769225</v>
      </c>
      <c r="I9" s="53"/>
      <c r="J9" s="2" t="s">
        <v>67</v>
      </c>
      <c r="K9" s="192">
        <v>1355</v>
      </c>
      <c r="L9" s="192">
        <v>1355</v>
      </c>
      <c r="M9" s="2">
        <f t="shared" si="0"/>
        <v>0</v>
      </c>
      <c r="N9" s="2">
        <f>SUM('so nguoi'!L8:L13)</f>
        <v>0</v>
      </c>
      <c r="O9" s="2" t="e">
        <f t="shared" si="1"/>
        <v>#DIV/0!</v>
      </c>
    </row>
    <row r="10" spans="1:15" ht="16.5" customHeight="1" x14ac:dyDescent="0.25">
      <c r="A10" s="198" t="s">
        <v>6</v>
      </c>
      <c r="B10" s="198">
        <v>6669</v>
      </c>
      <c r="C10" s="198">
        <v>6777</v>
      </c>
      <c r="D10" s="295">
        <f>VLOOKUP(RIGHT(LEFT(A9,11),4),'so nguoi'!$G$8:$N$21,2,0)</f>
        <v>6</v>
      </c>
      <c r="E10" s="61">
        <f>C10-B10</f>
        <v>108</v>
      </c>
      <c r="F10" s="62">
        <f>E10</f>
        <v>108</v>
      </c>
      <c r="G10" s="136">
        <f>F10*$L$2</f>
        <v>313200</v>
      </c>
      <c r="H10" s="137"/>
      <c r="J10" t="s">
        <v>68</v>
      </c>
      <c r="K10" s="191">
        <v>845</v>
      </c>
      <c r="L10" s="191">
        <v>845</v>
      </c>
      <c r="M10">
        <f t="shared" si="0"/>
        <v>0</v>
      </c>
      <c r="N10">
        <f>SUM('so nguoi'!L14:L18)</f>
        <v>0</v>
      </c>
      <c r="O10" t="e">
        <f t="shared" si="1"/>
        <v>#DIV/0!</v>
      </c>
    </row>
    <row r="11" spans="1:15" ht="16.5" customHeight="1" x14ac:dyDescent="0.25">
      <c r="A11" s="196" t="s">
        <v>36</v>
      </c>
      <c r="B11" s="196">
        <v>365</v>
      </c>
      <c r="C11" s="196">
        <v>394</v>
      </c>
      <c r="D11" s="296"/>
      <c r="E11" s="197">
        <f>C11-B11</f>
        <v>29</v>
      </c>
      <c r="F11" s="57">
        <f>E11</f>
        <v>29</v>
      </c>
      <c r="G11" s="135">
        <f>F11*$L$3</f>
        <v>522000</v>
      </c>
      <c r="H11" s="137"/>
    </row>
    <row r="12" spans="1:15" ht="16.5" customHeight="1" x14ac:dyDescent="0.25">
      <c r="A12" s="196" t="s">
        <v>37</v>
      </c>
      <c r="B12" s="196">
        <v>662</v>
      </c>
      <c r="C12" s="196">
        <v>672</v>
      </c>
      <c r="D12" s="297"/>
      <c r="E12" s="197">
        <f>C12-B12</f>
        <v>10</v>
      </c>
      <c r="F12" s="57">
        <f>$O$5*D10</f>
        <v>3.4615384615384612</v>
      </c>
      <c r="G12" s="135">
        <f>F12*$L$3</f>
        <v>62307.692307692305</v>
      </c>
      <c r="H12" s="138"/>
      <c r="I12" s="105"/>
      <c r="J12" s="50"/>
    </row>
    <row r="13" spans="1:15" s="2" customFormat="1" ht="24.75" customHeight="1" x14ac:dyDescent="0.3">
      <c r="A13" s="159" t="s">
        <v>39</v>
      </c>
      <c r="B13" s="159"/>
      <c r="C13" s="159"/>
      <c r="D13" s="159"/>
      <c r="E13" s="234"/>
      <c r="F13" s="235"/>
      <c r="G13" s="247"/>
      <c r="H13" s="248">
        <f>SUM(G14:G16)</f>
        <v>617623.07692307688</v>
      </c>
      <c r="I13" s="53"/>
    </row>
    <row r="14" spans="1:15" ht="16.5" customHeight="1" x14ac:dyDescent="0.25">
      <c r="A14" s="198" t="s">
        <v>6</v>
      </c>
      <c r="B14" s="198">
        <v>6332</v>
      </c>
      <c r="C14" s="198">
        <v>6465</v>
      </c>
      <c r="D14" s="295">
        <f>VLOOKUP(RIGHT(LEFT(A13,11),4),'so nguoi'!$G$8:$H$18,2,0)</f>
        <v>5</v>
      </c>
      <c r="E14" s="61">
        <f>C14-B14</f>
        <v>133</v>
      </c>
      <c r="F14" s="62">
        <f>E14</f>
        <v>133</v>
      </c>
      <c r="G14" s="136">
        <f>F14*$L$2</f>
        <v>385700</v>
      </c>
      <c r="H14" s="137"/>
    </row>
    <row r="15" spans="1:15" ht="16.5" customHeight="1" x14ac:dyDescent="0.25">
      <c r="A15" s="196" t="s">
        <v>36</v>
      </c>
      <c r="B15" s="196">
        <v>260</v>
      </c>
      <c r="C15" s="196">
        <v>270</v>
      </c>
      <c r="D15" s="296"/>
      <c r="E15" s="197">
        <f>C15-B15</f>
        <v>10</v>
      </c>
      <c r="F15" s="57">
        <f>E15</f>
        <v>10</v>
      </c>
      <c r="G15" s="135">
        <f>F15*$L$3</f>
        <v>180000</v>
      </c>
      <c r="H15" s="137"/>
    </row>
    <row r="16" spans="1:15" ht="16.5" customHeight="1" x14ac:dyDescent="0.25">
      <c r="A16" s="196" t="s">
        <v>37</v>
      </c>
      <c r="B16" s="196">
        <f>B12</f>
        <v>662</v>
      </c>
      <c r="C16" s="196">
        <f>C12</f>
        <v>672</v>
      </c>
      <c r="D16" s="297"/>
      <c r="E16" s="197">
        <f>C16-B16</f>
        <v>10</v>
      </c>
      <c r="F16" s="57">
        <f>$O$5*D14</f>
        <v>2.8846153846153841</v>
      </c>
      <c r="G16" s="135">
        <f>F16*$L$3</f>
        <v>51923.076923076915</v>
      </c>
      <c r="H16" s="138"/>
      <c r="J16" s="120"/>
    </row>
    <row r="17" spans="1:9" s="2" customFormat="1" ht="24.4" customHeight="1" x14ac:dyDescent="0.3">
      <c r="A17" s="159" t="s">
        <v>320</v>
      </c>
      <c r="B17" s="159"/>
      <c r="C17" s="159"/>
      <c r="D17" s="159"/>
      <c r="E17" s="234"/>
      <c r="F17" s="235"/>
      <c r="G17" s="236"/>
      <c r="H17" s="219">
        <f>SUM(G18:G20)</f>
        <v>1589730.7692307692</v>
      </c>
      <c r="I17" s="53"/>
    </row>
    <row r="18" spans="1:9" ht="16.5" customHeight="1" x14ac:dyDescent="0.25">
      <c r="A18" s="198" t="s">
        <v>6</v>
      </c>
      <c r="B18" s="198">
        <v>16102</v>
      </c>
      <c r="C18" s="198">
        <v>16437</v>
      </c>
      <c r="D18" s="295">
        <f>VLOOKUP(RIGHT(LEFT(A17,11),4),'so nguoi'!$G$8:$N$21,2,0)</f>
        <v>11</v>
      </c>
      <c r="E18" s="61">
        <f>C18-B18</f>
        <v>335</v>
      </c>
      <c r="F18" s="62">
        <f>E18</f>
        <v>335</v>
      </c>
      <c r="G18" s="136">
        <f>F18*$L$2</f>
        <v>971500</v>
      </c>
      <c r="H18" s="137"/>
    </row>
    <row r="19" spans="1:9" ht="16.5" customHeight="1" x14ac:dyDescent="0.25">
      <c r="A19" s="196" t="s">
        <v>36</v>
      </c>
      <c r="B19" s="196">
        <v>343</v>
      </c>
      <c r="C19" s="196">
        <v>371</v>
      </c>
      <c r="D19" s="296"/>
      <c r="E19" s="197">
        <f>C19-B19</f>
        <v>28</v>
      </c>
      <c r="F19" s="57">
        <f>E19</f>
        <v>28</v>
      </c>
      <c r="G19" s="135">
        <f>F19*$L$3</f>
        <v>504000</v>
      </c>
      <c r="H19" s="137"/>
    </row>
    <row r="20" spans="1:9" ht="16.5" customHeight="1" x14ac:dyDescent="0.25">
      <c r="A20" s="196" t="s">
        <v>37</v>
      </c>
      <c r="B20" s="196">
        <f>B12</f>
        <v>662</v>
      </c>
      <c r="C20" s="196">
        <f>C12</f>
        <v>672</v>
      </c>
      <c r="D20" s="297"/>
      <c r="E20" s="197">
        <f>C20-B20</f>
        <v>10</v>
      </c>
      <c r="F20" s="57">
        <f>$O$5*D18</f>
        <v>6.3461538461538458</v>
      </c>
      <c r="G20" s="135">
        <f>F20*$L$3</f>
        <v>114230.76923076922</v>
      </c>
      <c r="H20" s="138"/>
    </row>
    <row r="21" spans="1:9" s="2" customFormat="1" ht="24.4" hidden="1" customHeight="1" x14ac:dyDescent="0.3">
      <c r="A21" s="159" t="s">
        <v>321</v>
      </c>
      <c r="B21" s="159"/>
      <c r="C21" s="159"/>
      <c r="D21" s="159"/>
      <c r="E21" s="234"/>
      <c r="F21" s="235"/>
      <c r="G21" s="236"/>
      <c r="H21" s="219">
        <f>SUM(G22:G24)</f>
        <v>0</v>
      </c>
      <c r="I21" s="53">
        <f>F21*12000</f>
        <v>0</v>
      </c>
    </row>
    <row r="22" spans="1:9" ht="16.5" hidden="1" customHeight="1" x14ac:dyDescent="0.25">
      <c r="A22" s="196" t="s">
        <v>6</v>
      </c>
      <c r="B22" s="196">
        <v>5254</v>
      </c>
      <c r="C22" s="196">
        <v>5254</v>
      </c>
      <c r="D22" s="295">
        <f>VLOOKUP(RIGHT(LEFT(A21,11),4),'so nguoi'!$G$8:$N$21,2,0)</f>
        <v>0</v>
      </c>
      <c r="E22" s="61">
        <f>C22-B22</f>
        <v>0</v>
      </c>
      <c r="F22" s="62">
        <f>E22</f>
        <v>0</v>
      </c>
      <c r="G22" s="136">
        <f>F22*$L$2</f>
        <v>0</v>
      </c>
      <c r="H22" s="137"/>
    </row>
    <row r="23" spans="1:9" ht="16.5" hidden="1" customHeight="1" x14ac:dyDescent="0.25">
      <c r="A23" s="196" t="s">
        <v>36</v>
      </c>
      <c r="B23" s="196">
        <v>221</v>
      </c>
      <c r="C23" s="196">
        <v>221</v>
      </c>
      <c r="D23" s="296"/>
      <c r="E23" s="197">
        <f>C23-B23</f>
        <v>0</v>
      </c>
      <c r="F23" s="57">
        <f>E23</f>
        <v>0</v>
      </c>
      <c r="G23" s="135">
        <f>F23*$L$3</f>
        <v>0</v>
      </c>
      <c r="H23" s="137"/>
    </row>
    <row r="24" spans="1:9" ht="16.5" hidden="1" customHeight="1" x14ac:dyDescent="0.25">
      <c r="A24" s="196" t="s">
        <v>37</v>
      </c>
      <c r="B24" s="196">
        <v>349</v>
      </c>
      <c r="C24" s="196">
        <v>349</v>
      </c>
      <c r="D24" s="297"/>
      <c r="E24" s="197">
        <f>C24-B24</f>
        <v>0</v>
      </c>
      <c r="F24" s="57">
        <f>$O$5*D22</f>
        <v>0</v>
      </c>
      <c r="G24" s="135">
        <f>F24*$L$3</f>
        <v>0</v>
      </c>
      <c r="H24" s="138"/>
    </row>
    <row r="25" spans="1:9" s="2" customFormat="1" ht="24.4" hidden="1" customHeight="1" x14ac:dyDescent="0.3">
      <c r="A25" s="159" t="s">
        <v>40</v>
      </c>
      <c r="B25" s="159"/>
      <c r="C25" s="159"/>
      <c r="D25" s="159"/>
      <c r="E25" s="234"/>
      <c r="F25" s="235"/>
      <c r="G25" s="236"/>
      <c r="H25" s="219">
        <f>SUM(G26:G28)</f>
        <v>0</v>
      </c>
      <c r="I25" s="53">
        <f>F25*12000</f>
        <v>0</v>
      </c>
    </row>
    <row r="26" spans="1:9" ht="16.5" hidden="1" customHeight="1" x14ac:dyDescent="0.25">
      <c r="A26" s="198" t="s">
        <v>6</v>
      </c>
      <c r="B26" s="198">
        <v>6631</v>
      </c>
      <c r="C26" s="198">
        <v>6631</v>
      </c>
      <c r="D26" s="295">
        <f>VLOOKUP(RIGHT(LEFT(A25,11),4),'so nguoi'!$G$8:$N$21,2,0)</f>
        <v>0</v>
      </c>
      <c r="E26" s="61">
        <f>C26-B26</f>
        <v>0</v>
      </c>
      <c r="F26" s="62">
        <f>E26</f>
        <v>0</v>
      </c>
      <c r="G26" s="136">
        <f>F26*$L$2</f>
        <v>0</v>
      </c>
      <c r="H26" s="137"/>
    </row>
    <row r="27" spans="1:9" ht="16.5" hidden="1" customHeight="1" x14ac:dyDescent="0.25">
      <c r="A27" s="196" t="s">
        <v>36</v>
      </c>
      <c r="B27" s="196">
        <v>217</v>
      </c>
      <c r="C27" s="196">
        <v>217</v>
      </c>
      <c r="D27" s="296"/>
      <c r="E27" s="197">
        <f>C27-B27</f>
        <v>0</v>
      </c>
      <c r="F27" s="57">
        <f>E27</f>
        <v>0</v>
      </c>
      <c r="G27" s="135">
        <f>F27*$L$3</f>
        <v>0</v>
      </c>
      <c r="H27" s="137"/>
    </row>
    <row r="28" spans="1:9" ht="21.75" hidden="1" customHeight="1" x14ac:dyDescent="0.25">
      <c r="A28" s="196" t="s">
        <v>37</v>
      </c>
      <c r="B28" s="196">
        <v>356</v>
      </c>
      <c r="C28" s="196">
        <v>356</v>
      </c>
      <c r="D28" s="297"/>
      <c r="E28" s="197">
        <f>C28-B28</f>
        <v>0</v>
      </c>
      <c r="F28" s="57">
        <f>$O$5*D26</f>
        <v>0</v>
      </c>
      <c r="G28" s="135">
        <f>F28*$L$3</f>
        <v>0</v>
      </c>
      <c r="H28" s="138"/>
    </row>
    <row r="29" spans="1:9" s="2" customFormat="1" ht="24.75" hidden="1" customHeight="1" x14ac:dyDescent="0.25">
      <c r="A29" s="237" t="s">
        <v>41</v>
      </c>
      <c r="B29" s="237"/>
      <c r="C29" s="237"/>
      <c r="D29" s="237"/>
      <c r="E29" s="238"/>
      <c r="F29" s="239"/>
      <c r="G29" s="240"/>
      <c r="H29" s="241">
        <f>SUM(G30:G32)</f>
        <v>0</v>
      </c>
      <c r="I29" s="50">
        <f>F29*12000</f>
        <v>0</v>
      </c>
    </row>
    <row r="30" spans="1:9" ht="16.5" hidden="1" customHeight="1" x14ac:dyDescent="0.25">
      <c r="A30" s="198" t="s">
        <v>6</v>
      </c>
      <c r="B30" s="198">
        <v>16456</v>
      </c>
      <c r="C30" s="198">
        <v>16456</v>
      </c>
      <c r="D30" s="295">
        <f>VLOOKUP(RIGHT(LEFT(A29,11),4),'so nguoi'!$G$8:$N$21,2,0)</f>
        <v>0</v>
      </c>
      <c r="E30" s="61">
        <f>C30-B30</f>
        <v>0</v>
      </c>
      <c r="F30" s="62">
        <f>E30</f>
        <v>0</v>
      </c>
      <c r="G30" s="136">
        <f>F30*$L$2</f>
        <v>0</v>
      </c>
      <c r="H30" s="137"/>
    </row>
    <row r="31" spans="1:9" ht="16.5" hidden="1" customHeight="1" x14ac:dyDescent="0.25">
      <c r="A31" s="196" t="s">
        <v>36</v>
      </c>
      <c r="B31" s="196">
        <v>46</v>
      </c>
      <c r="C31" s="196">
        <v>46</v>
      </c>
      <c r="D31" s="296"/>
      <c r="E31" s="197">
        <f>C31-B31</f>
        <v>0</v>
      </c>
      <c r="F31" s="57">
        <f>E31</f>
        <v>0</v>
      </c>
      <c r="G31" s="135">
        <f>F31*$L$3</f>
        <v>0</v>
      </c>
      <c r="H31" s="137"/>
    </row>
    <row r="32" spans="1:9" ht="16.5" hidden="1" customHeight="1" x14ac:dyDescent="0.25">
      <c r="A32" s="196" t="s">
        <v>37</v>
      </c>
      <c r="B32" s="196">
        <f>B28</f>
        <v>356</v>
      </c>
      <c r="C32" s="196">
        <f>C28</f>
        <v>356</v>
      </c>
      <c r="D32" s="297"/>
      <c r="E32" s="197">
        <f>C32-B32</f>
        <v>0</v>
      </c>
      <c r="F32" s="57">
        <f>$O$5*D30</f>
        <v>0</v>
      </c>
      <c r="G32" s="135">
        <f>F32*$L$3</f>
        <v>0</v>
      </c>
      <c r="H32" s="138"/>
    </row>
    <row r="33" spans="1:9" s="192" customFormat="1" ht="24.75" hidden="1" customHeight="1" x14ac:dyDescent="0.25">
      <c r="A33" s="237" t="s">
        <v>322</v>
      </c>
      <c r="B33" s="237"/>
      <c r="C33" s="237"/>
      <c r="D33" s="237"/>
      <c r="E33" s="238"/>
      <c r="F33" s="239"/>
      <c r="G33" s="240"/>
      <c r="H33" s="241">
        <f>SUM(G34:G36)</f>
        <v>0</v>
      </c>
      <c r="I33" s="50">
        <f>F33*12000</f>
        <v>0</v>
      </c>
    </row>
    <row r="34" spans="1:9" s="191" customFormat="1" ht="16.5" hidden="1" customHeight="1" x14ac:dyDescent="0.25">
      <c r="A34" s="198" t="s">
        <v>6</v>
      </c>
      <c r="B34" s="198">
        <v>6424</v>
      </c>
      <c r="C34" s="198">
        <v>6424</v>
      </c>
      <c r="D34" s="295">
        <f>VLOOKUP(RIGHT(LEFT(A33,11),4),'so nguoi'!$G$8:$N$21,2,0)</f>
        <v>0</v>
      </c>
      <c r="E34" s="61">
        <f>C34-B34</f>
        <v>0</v>
      </c>
      <c r="F34" s="62">
        <f>E34</f>
        <v>0</v>
      </c>
      <c r="G34" s="136">
        <f>F34*$L$2</f>
        <v>0</v>
      </c>
      <c r="H34" s="137"/>
      <c r="I34" s="50"/>
    </row>
    <row r="35" spans="1:9" s="191" customFormat="1" ht="16.5" hidden="1" customHeight="1" x14ac:dyDescent="0.25">
      <c r="A35" s="196" t="s">
        <v>36</v>
      </c>
      <c r="B35" s="196">
        <v>209</v>
      </c>
      <c r="C35" s="196">
        <v>209</v>
      </c>
      <c r="D35" s="296"/>
      <c r="E35" s="197">
        <f>C35-B35</f>
        <v>0</v>
      </c>
      <c r="F35" s="57">
        <f>E35</f>
        <v>0</v>
      </c>
      <c r="G35" s="135">
        <f>F35*$L$3</f>
        <v>0</v>
      </c>
      <c r="H35" s="137"/>
      <c r="I35" s="50"/>
    </row>
    <row r="36" spans="1:9" s="191" customFormat="1" ht="16.5" hidden="1" customHeight="1" x14ac:dyDescent="0.25">
      <c r="A36" s="196" t="s">
        <v>37</v>
      </c>
      <c r="B36" s="196">
        <f>B32</f>
        <v>356</v>
      </c>
      <c r="C36" s="196">
        <f>C32</f>
        <v>356</v>
      </c>
      <c r="D36" s="297"/>
      <c r="E36" s="197">
        <f>C36-B36</f>
        <v>0</v>
      </c>
      <c r="F36" s="57">
        <f>$O$5*D34</f>
        <v>0</v>
      </c>
      <c r="G36" s="135">
        <f>F36*$L$3</f>
        <v>0</v>
      </c>
      <c r="H36" s="138"/>
      <c r="I36" s="50"/>
    </row>
    <row r="37" spans="1:9" s="192" customFormat="1" ht="24.75" hidden="1" customHeight="1" x14ac:dyDescent="0.25">
      <c r="A37" s="237" t="s">
        <v>323</v>
      </c>
      <c r="B37" s="237"/>
      <c r="C37" s="237"/>
      <c r="D37" s="237"/>
      <c r="E37" s="238"/>
      <c r="F37" s="239"/>
      <c r="G37" s="240"/>
      <c r="H37" s="241">
        <f>SUM(G38:G40)</f>
        <v>0</v>
      </c>
      <c r="I37" s="50">
        <f>F37*12000</f>
        <v>0</v>
      </c>
    </row>
    <row r="38" spans="1:9" s="191" customFormat="1" ht="16.5" hidden="1" customHeight="1" x14ac:dyDescent="0.25">
      <c r="A38" s="198" t="s">
        <v>6</v>
      </c>
      <c r="B38" s="198">
        <v>15369</v>
      </c>
      <c r="C38" s="198">
        <v>15369</v>
      </c>
      <c r="D38" s="295">
        <f>VLOOKUP(RIGHT(LEFT(A37,11),4),'so nguoi'!$G$8:$N$21,2,0)</f>
        <v>0</v>
      </c>
      <c r="E38" s="61">
        <f>C38-B38</f>
        <v>0</v>
      </c>
      <c r="F38" s="62">
        <f>E38</f>
        <v>0</v>
      </c>
      <c r="G38" s="136">
        <f>F38*$L$2</f>
        <v>0</v>
      </c>
      <c r="H38" s="137"/>
      <c r="I38" s="50"/>
    </row>
    <row r="39" spans="1:9" s="191" customFormat="1" ht="16.5" hidden="1" customHeight="1" x14ac:dyDescent="0.25">
      <c r="A39" s="196" t="s">
        <v>36</v>
      </c>
      <c r="B39" s="196">
        <v>153</v>
      </c>
      <c r="C39" s="196">
        <v>153</v>
      </c>
      <c r="D39" s="296"/>
      <c r="E39" s="197">
        <f>C39-B39</f>
        <v>0</v>
      </c>
      <c r="F39" s="57">
        <f>E39</f>
        <v>0</v>
      </c>
      <c r="G39" s="135">
        <f>F39*$L$3</f>
        <v>0</v>
      </c>
      <c r="H39" s="137"/>
      <c r="I39" s="50"/>
    </row>
    <row r="40" spans="1:9" s="191" customFormat="1" ht="16.5" hidden="1" customHeight="1" x14ac:dyDescent="0.25">
      <c r="A40" s="196" t="s">
        <v>37</v>
      </c>
      <c r="B40" s="196">
        <f>B36</f>
        <v>356</v>
      </c>
      <c r="C40" s="196">
        <f>C36</f>
        <v>356</v>
      </c>
      <c r="D40" s="297"/>
      <c r="E40" s="197">
        <f>C40-B40</f>
        <v>0</v>
      </c>
      <c r="F40" s="57">
        <f>$O$5*D38</f>
        <v>0</v>
      </c>
      <c r="G40" s="135">
        <f>F40*$L$3</f>
        <v>0</v>
      </c>
      <c r="H40" s="138"/>
      <c r="I40" s="50"/>
    </row>
    <row r="41" spans="1:9" s="192" customFormat="1" ht="24.75" hidden="1" customHeight="1" x14ac:dyDescent="0.25">
      <c r="A41" s="237" t="s">
        <v>324</v>
      </c>
      <c r="B41" s="237"/>
      <c r="C41" s="237"/>
      <c r="D41" s="237"/>
      <c r="E41" s="238"/>
      <c r="F41" s="239"/>
      <c r="G41" s="240"/>
      <c r="H41" s="241">
        <f>SUM(G42:G44)</f>
        <v>0</v>
      </c>
      <c r="I41" s="50">
        <f>F41*12000</f>
        <v>0</v>
      </c>
    </row>
    <row r="42" spans="1:9" s="191" customFormat="1" ht="16.5" hidden="1" customHeight="1" x14ac:dyDescent="0.25">
      <c r="A42" s="198" t="s">
        <v>6</v>
      </c>
      <c r="B42" s="198">
        <v>11331</v>
      </c>
      <c r="C42" s="198">
        <v>11331</v>
      </c>
      <c r="D42" s="295">
        <f>VLOOKUP(RIGHT(LEFT(A41,11),4),'so nguoi'!$G$8:$N$21,2,0)</f>
        <v>0</v>
      </c>
      <c r="E42" s="61">
        <f>C42-B42</f>
        <v>0</v>
      </c>
      <c r="F42" s="62">
        <f>E42</f>
        <v>0</v>
      </c>
      <c r="G42" s="136">
        <f>F42*$L$2</f>
        <v>0</v>
      </c>
      <c r="H42" s="137"/>
      <c r="I42" s="50"/>
    </row>
    <row r="43" spans="1:9" s="191" customFormat="1" ht="16.5" hidden="1" customHeight="1" x14ac:dyDescent="0.25">
      <c r="A43" s="196" t="s">
        <v>36</v>
      </c>
      <c r="B43" s="196">
        <v>255</v>
      </c>
      <c r="C43" s="196">
        <v>255</v>
      </c>
      <c r="D43" s="296"/>
      <c r="E43" s="197">
        <f>C43-B43</f>
        <v>0</v>
      </c>
      <c r="F43" s="57">
        <f>E43</f>
        <v>0</v>
      </c>
      <c r="G43" s="135">
        <f>F43*$L$3</f>
        <v>0</v>
      </c>
      <c r="H43" s="137"/>
      <c r="I43" s="50"/>
    </row>
    <row r="44" spans="1:9" s="191" customFormat="1" ht="16.5" hidden="1" customHeight="1" x14ac:dyDescent="0.25">
      <c r="A44" s="196" t="s">
        <v>37</v>
      </c>
      <c r="B44" s="196">
        <f>B12</f>
        <v>662</v>
      </c>
      <c r="C44" s="196">
        <f>C12</f>
        <v>672</v>
      </c>
      <c r="D44" s="297"/>
      <c r="E44" s="197">
        <f>C44-B44</f>
        <v>10</v>
      </c>
      <c r="F44" s="57">
        <f>$O$5*D42</f>
        <v>0</v>
      </c>
      <c r="G44" s="135">
        <f>F44*$L$3</f>
        <v>0</v>
      </c>
      <c r="H44" s="138"/>
      <c r="I44" s="50"/>
    </row>
    <row r="45" spans="1:9" s="192" customFormat="1" ht="24.75" hidden="1" customHeight="1" x14ac:dyDescent="0.25">
      <c r="A45" s="237" t="s">
        <v>325</v>
      </c>
      <c r="B45" s="237"/>
      <c r="C45" s="237"/>
      <c r="D45" s="237"/>
      <c r="E45" s="238"/>
      <c r="F45" s="239"/>
      <c r="G45" s="240"/>
      <c r="H45" s="241">
        <f>SUM(G46:G48)</f>
        <v>0</v>
      </c>
      <c r="I45" s="50">
        <f>F45*12000</f>
        <v>0</v>
      </c>
    </row>
    <row r="46" spans="1:9" s="191" customFormat="1" ht="16.5" hidden="1" customHeight="1" x14ac:dyDescent="0.25">
      <c r="A46" s="198" t="s">
        <v>6</v>
      </c>
      <c r="B46" s="198">
        <v>5127</v>
      </c>
      <c r="C46" s="198">
        <v>5127</v>
      </c>
      <c r="D46" s="295">
        <f>VLOOKUP(RIGHT(LEFT(A45,11),4),'so nguoi'!$G$8:$N$21,2,0)</f>
        <v>0</v>
      </c>
      <c r="E46" s="61">
        <f>C46-B46</f>
        <v>0</v>
      </c>
      <c r="F46" s="62">
        <f>E46</f>
        <v>0</v>
      </c>
      <c r="G46" s="136">
        <f>F46*$L$2</f>
        <v>0</v>
      </c>
      <c r="H46" s="137"/>
      <c r="I46" s="50"/>
    </row>
    <row r="47" spans="1:9" s="191" customFormat="1" ht="16.5" hidden="1" customHeight="1" x14ac:dyDescent="0.25">
      <c r="A47" s="196" t="s">
        <v>36</v>
      </c>
      <c r="B47" s="196">
        <v>250</v>
      </c>
      <c r="C47" s="196">
        <v>250</v>
      </c>
      <c r="D47" s="296"/>
      <c r="E47" s="197">
        <f>C47-B47</f>
        <v>0</v>
      </c>
      <c r="F47" s="57">
        <f>E47</f>
        <v>0</v>
      </c>
      <c r="G47" s="135">
        <f>F47*$L$3</f>
        <v>0</v>
      </c>
      <c r="H47" s="137"/>
      <c r="I47" s="50"/>
    </row>
    <row r="48" spans="1:9" s="191" customFormat="1" ht="16.5" hidden="1" customHeight="1" x14ac:dyDescent="0.25">
      <c r="A48" s="196" t="s">
        <v>37</v>
      </c>
      <c r="B48" s="196">
        <f>B12</f>
        <v>662</v>
      </c>
      <c r="C48" s="196">
        <f>C12</f>
        <v>672</v>
      </c>
      <c r="D48" s="297"/>
      <c r="E48" s="197">
        <f>C48-B48</f>
        <v>10</v>
      </c>
      <c r="F48" s="57">
        <f>$O$5*D46</f>
        <v>0</v>
      </c>
      <c r="G48" s="135">
        <f>F48*$L$3</f>
        <v>0</v>
      </c>
      <c r="H48" s="138"/>
      <c r="I48" s="50"/>
    </row>
    <row r="49" spans="1:9" s="192" customFormat="1" ht="24.75" hidden="1" customHeight="1" x14ac:dyDescent="0.25">
      <c r="A49" s="237" t="s">
        <v>326</v>
      </c>
      <c r="B49" s="237"/>
      <c r="C49" s="237"/>
      <c r="D49" s="237"/>
      <c r="E49" s="238"/>
      <c r="F49" s="239"/>
      <c r="G49" s="240"/>
      <c r="H49" s="241">
        <f>SUM(G50:G52)</f>
        <v>0</v>
      </c>
      <c r="I49" s="50">
        <f>F49*12000</f>
        <v>0</v>
      </c>
    </row>
    <row r="50" spans="1:9" s="191" customFormat="1" ht="16.5" hidden="1" customHeight="1" x14ac:dyDescent="0.25">
      <c r="A50" s="198" t="s">
        <v>6</v>
      </c>
      <c r="B50" s="198">
        <v>7823</v>
      </c>
      <c r="C50" s="198">
        <v>7823</v>
      </c>
      <c r="D50" s="295">
        <f>VLOOKUP(RIGHT(LEFT(A49,11),4),'so nguoi'!$G$8:$N$21,2,0)</f>
        <v>0</v>
      </c>
      <c r="E50" s="61">
        <f>C50-B50</f>
        <v>0</v>
      </c>
      <c r="F50" s="62">
        <f>E50</f>
        <v>0</v>
      </c>
      <c r="G50" s="136">
        <f>F50*$L$2</f>
        <v>0</v>
      </c>
      <c r="H50" s="137"/>
      <c r="I50" s="50"/>
    </row>
    <row r="51" spans="1:9" s="191" customFormat="1" ht="16.5" hidden="1" customHeight="1" x14ac:dyDescent="0.25">
      <c r="A51" s="196" t="s">
        <v>36</v>
      </c>
      <c r="B51" s="196">
        <v>305</v>
      </c>
      <c r="C51" s="196">
        <v>305</v>
      </c>
      <c r="D51" s="296"/>
      <c r="E51" s="197">
        <f>C51-B51</f>
        <v>0</v>
      </c>
      <c r="F51" s="57">
        <f>E51</f>
        <v>0</v>
      </c>
      <c r="G51" s="135">
        <f>F51*$L$3</f>
        <v>0</v>
      </c>
      <c r="H51" s="137"/>
      <c r="I51" s="50"/>
    </row>
    <row r="52" spans="1:9" s="191" customFormat="1" ht="16.5" hidden="1" customHeight="1" x14ac:dyDescent="0.25">
      <c r="A52" s="196" t="s">
        <v>37</v>
      </c>
      <c r="B52" s="196">
        <f>B12</f>
        <v>662</v>
      </c>
      <c r="C52" s="196">
        <f>C12</f>
        <v>672</v>
      </c>
      <c r="D52" s="297"/>
      <c r="E52" s="197">
        <f>C52-B52</f>
        <v>10</v>
      </c>
      <c r="F52" s="57">
        <f>$O$5*D50</f>
        <v>0</v>
      </c>
      <c r="G52" s="135">
        <f>F52*$L$3</f>
        <v>0</v>
      </c>
      <c r="H52" s="138"/>
      <c r="I52" s="50"/>
    </row>
    <row r="53" spans="1:9" s="192" customFormat="1" ht="24.75" hidden="1" customHeight="1" x14ac:dyDescent="0.25">
      <c r="A53" s="237" t="s">
        <v>327</v>
      </c>
      <c r="B53" s="237"/>
      <c r="C53" s="237"/>
      <c r="D53" s="237"/>
      <c r="E53" s="238"/>
      <c r="F53" s="239"/>
      <c r="G53" s="240"/>
      <c r="H53" s="241">
        <f>SUM(G54:G56)</f>
        <v>0</v>
      </c>
      <c r="I53" s="50">
        <f>F53*12000</f>
        <v>0</v>
      </c>
    </row>
    <row r="54" spans="1:9" s="191" customFormat="1" ht="16.5" hidden="1" customHeight="1" x14ac:dyDescent="0.25">
      <c r="A54" s="198" t="s">
        <v>6</v>
      </c>
      <c r="B54" s="198">
        <v>13221</v>
      </c>
      <c r="C54" s="198">
        <v>13221</v>
      </c>
      <c r="D54" s="295">
        <f>VLOOKUP(RIGHT(LEFT(A53,11),4),'so nguoi'!$I$8:$N$21,2,0)</f>
        <v>0</v>
      </c>
      <c r="E54" s="61">
        <f>C54-B54</f>
        <v>0</v>
      </c>
      <c r="F54" s="62">
        <f>E54</f>
        <v>0</v>
      </c>
      <c r="G54" s="136">
        <f>F54*$L$2</f>
        <v>0</v>
      </c>
      <c r="H54" s="137"/>
      <c r="I54" s="50"/>
    </row>
    <row r="55" spans="1:9" s="191" customFormat="1" ht="16.5" hidden="1" customHeight="1" x14ac:dyDescent="0.25">
      <c r="A55" s="196" t="s">
        <v>36</v>
      </c>
      <c r="B55" s="196">
        <v>128</v>
      </c>
      <c r="C55" s="196">
        <v>128</v>
      </c>
      <c r="D55" s="296"/>
      <c r="E55" s="197">
        <f>C55-B55</f>
        <v>0</v>
      </c>
      <c r="F55" s="57">
        <f>E55</f>
        <v>0</v>
      </c>
      <c r="G55" s="135">
        <f>F55*$L$3</f>
        <v>0</v>
      </c>
      <c r="H55" s="137"/>
      <c r="I55" s="50"/>
    </row>
    <row r="56" spans="1:9" s="191" customFormat="1" ht="16.5" hidden="1" customHeight="1" x14ac:dyDescent="0.25">
      <c r="A56" s="196" t="s">
        <v>37</v>
      </c>
      <c r="B56" s="196">
        <v>263</v>
      </c>
      <c r="C56" s="196">
        <v>263</v>
      </c>
      <c r="D56" s="297"/>
      <c r="E56" s="197">
        <f>C56-B56</f>
        <v>0</v>
      </c>
      <c r="F56" s="57">
        <f>$O$5*D54</f>
        <v>0</v>
      </c>
      <c r="G56" s="135">
        <f>F56*$L$3</f>
        <v>0</v>
      </c>
      <c r="H56" s="138"/>
      <c r="I56" s="50"/>
    </row>
    <row r="57" spans="1:9" s="192" customFormat="1" ht="24.75" hidden="1" customHeight="1" x14ac:dyDescent="0.25">
      <c r="A57" s="237" t="s">
        <v>328</v>
      </c>
      <c r="B57" s="237"/>
      <c r="C57" s="237"/>
      <c r="D57" s="237"/>
      <c r="E57" s="238"/>
      <c r="F57" s="239"/>
      <c r="G57" s="240"/>
      <c r="H57" s="241">
        <f>SUM(G58:G60)</f>
        <v>0</v>
      </c>
      <c r="I57" s="50">
        <f>F57*12000</f>
        <v>0</v>
      </c>
    </row>
    <row r="58" spans="1:9" s="191" customFormat="1" ht="16.5" hidden="1" customHeight="1" x14ac:dyDescent="0.25">
      <c r="A58" s="198" t="s">
        <v>6</v>
      </c>
      <c r="B58" s="198">
        <v>14822</v>
      </c>
      <c r="C58" s="198">
        <v>14822</v>
      </c>
      <c r="D58" s="295">
        <f>VLOOKUP(RIGHT(LEFT(A57,11),4),'so nguoi'!$I8:$N$21,2,0)</f>
        <v>0</v>
      </c>
      <c r="E58" s="61">
        <f>C58-B58</f>
        <v>0</v>
      </c>
      <c r="F58" s="62">
        <f>E58</f>
        <v>0</v>
      </c>
      <c r="G58" s="136">
        <f>F58*$L$2</f>
        <v>0</v>
      </c>
      <c r="H58" s="137"/>
      <c r="I58" s="50"/>
    </row>
    <row r="59" spans="1:9" s="191" customFormat="1" ht="16.5" hidden="1" customHeight="1" x14ac:dyDescent="0.25">
      <c r="A59" s="196" t="s">
        <v>36</v>
      </c>
      <c r="B59" s="196">
        <v>96</v>
      </c>
      <c r="C59" s="196">
        <v>96</v>
      </c>
      <c r="D59" s="296"/>
      <c r="E59" s="197">
        <f>C59-B59</f>
        <v>0</v>
      </c>
      <c r="F59" s="57">
        <f>E59</f>
        <v>0</v>
      </c>
      <c r="G59" s="135">
        <f>F59*$L$3</f>
        <v>0</v>
      </c>
      <c r="H59" s="137"/>
      <c r="I59" s="50"/>
    </row>
    <row r="60" spans="1:9" s="191" customFormat="1" ht="16.5" hidden="1" customHeight="1" x14ac:dyDescent="0.25">
      <c r="A60" s="196" t="s">
        <v>37</v>
      </c>
      <c r="B60" s="196">
        <v>263</v>
      </c>
      <c r="C60" s="196">
        <v>263</v>
      </c>
      <c r="D60" s="297"/>
      <c r="E60" s="197">
        <f>C60-B60</f>
        <v>0</v>
      </c>
      <c r="F60" s="57">
        <f>$O$5*D58</f>
        <v>0</v>
      </c>
      <c r="G60" s="135">
        <f>F60*$L$3</f>
        <v>0</v>
      </c>
      <c r="H60" s="138"/>
      <c r="I60" s="50"/>
    </row>
    <row r="61" spans="1:9" s="192" customFormat="1" ht="24.75" hidden="1" customHeight="1" x14ac:dyDescent="0.25">
      <c r="A61" s="237" t="s">
        <v>329</v>
      </c>
      <c r="B61" s="237"/>
      <c r="C61" s="237"/>
      <c r="D61" s="237"/>
      <c r="E61" s="238"/>
      <c r="F61" s="239"/>
      <c r="G61" s="240"/>
      <c r="H61" s="241">
        <f>SUM(G62:G64)</f>
        <v>0</v>
      </c>
      <c r="I61" s="50">
        <f>F61*12000</f>
        <v>0</v>
      </c>
    </row>
    <row r="62" spans="1:9" s="191" customFormat="1" ht="16.5" hidden="1" customHeight="1" x14ac:dyDescent="0.25">
      <c r="A62" s="198" t="s">
        <v>6</v>
      </c>
      <c r="B62" s="198"/>
      <c r="C62" s="198"/>
      <c r="D62" s="295">
        <f>VLOOKUP(RIGHT(LEFT(A61,11),4),'so nguoi'!$I$8:$N$21,2,0)</f>
        <v>0</v>
      </c>
      <c r="E62" s="61">
        <f>C62-B62</f>
        <v>0</v>
      </c>
      <c r="F62" s="62">
        <f>E62</f>
        <v>0</v>
      </c>
      <c r="G62" s="136">
        <f>F62*$L$2</f>
        <v>0</v>
      </c>
      <c r="H62" s="137"/>
      <c r="I62" s="50"/>
    </row>
    <row r="63" spans="1:9" s="191" customFormat="1" ht="16.5" hidden="1" customHeight="1" x14ac:dyDescent="0.25">
      <c r="A63" s="196" t="s">
        <v>36</v>
      </c>
      <c r="B63" s="196"/>
      <c r="C63" s="196"/>
      <c r="D63" s="296"/>
      <c r="E63" s="197">
        <f>C63-B63</f>
        <v>0</v>
      </c>
      <c r="F63" s="57">
        <f>E63</f>
        <v>0</v>
      </c>
      <c r="G63" s="135">
        <f>F63*$L$3</f>
        <v>0</v>
      </c>
      <c r="H63" s="137"/>
      <c r="I63" s="50"/>
    </row>
    <row r="64" spans="1:9" s="191" customFormat="1" ht="16.5" hidden="1" customHeight="1" x14ac:dyDescent="0.25">
      <c r="A64" s="196" t="s">
        <v>37</v>
      </c>
      <c r="B64" s="196"/>
      <c r="C64" s="196"/>
      <c r="D64" s="297"/>
      <c r="E64" s="197">
        <f>C64-B64</f>
        <v>0</v>
      </c>
      <c r="F64" s="57">
        <f>$O$5*D62</f>
        <v>0</v>
      </c>
      <c r="G64" s="135">
        <f>F64*$L$3</f>
        <v>0</v>
      </c>
      <c r="H64" s="138"/>
      <c r="I64" s="50"/>
    </row>
    <row r="65" spans="1:9" s="192" customFormat="1" ht="24.75" hidden="1" customHeight="1" x14ac:dyDescent="0.25">
      <c r="A65" s="237" t="s">
        <v>330</v>
      </c>
      <c r="B65" s="237"/>
      <c r="C65" s="237"/>
      <c r="D65" s="237"/>
      <c r="E65" s="238"/>
      <c r="F65" s="239"/>
      <c r="G65" s="240"/>
      <c r="H65" s="241">
        <f>SUM(G66:G68)</f>
        <v>0</v>
      </c>
      <c r="I65" s="50">
        <f>F65*12000</f>
        <v>0</v>
      </c>
    </row>
    <row r="66" spans="1:9" s="191" customFormat="1" ht="16.5" hidden="1" customHeight="1" x14ac:dyDescent="0.25">
      <c r="A66" s="198" t="s">
        <v>6</v>
      </c>
      <c r="B66" s="198">
        <v>16547</v>
      </c>
      <c r="C66" s="198">
        <v>16547</v>
      </c>
      <c r="D66" s="295">
        <f>VLOOKUP(RIGHT(LEFT(A65,11),4),'so nguoi'!$I$8:$N$21,2,0)</f>
        <v>0</v>
      </c>
      <c r="E66" s="61">
        <f>C66-B66</f>
        <v>0</v>
      </c>
      <c r="F66" s="62">
        <f>E66</f>
        <v>0</v>
      </c>
      <c r="G66" s="136">
        <f>F66*$L$2</f>
        <v>0</v>
      </c>
      <c r="H66" s="137"/>
      <c r="I66" s="50"/>
    </row>
    <row r="67" spans="1:9" s="191" customFormat="1" ht="16.5" hidden="1" customHeight="1" x14ac:dyDescent="0.25">
      <c r="A67" s="196" t="s">
        <v>36</v>
      </c>
      <c r="B67" s="196">
        <v>207</v>
      </c>
      <c r="C67" s="196">
        <v>207</v>
      </c>
      <c r="D67" s="296"/>
      <c r="E67" s="197">
        <f>C67-B67</f>
        <v>0</v>
      </c>
      <c r="F67" s="57">
        <f>E67</f>
        <v>0</v>
      </c>
      <c r="G67" s="135">
        <f>F67*$L$3</f>
        <v>0</v>
      </c>
      <c r="H67" s="137"/>
      <c r="I67" s="50"/>
    </row>
    <row r="68" spans="1:9" s="191" customFormat="1" ht="16.5" hidden="1" customHeight="1" x14ac:dyDescent="0.25">
      <c r="A68" s="196" t="s">
        <v>37</v>
      </c>
      <c r="B68" s="196">
        <v>263</v>
      </c>
      <c r="C68" s="196">
        <v>263</v>
      </c>
      <c r="D68" s="297"/>
      <c r="E68" s="197">
        <f>C68-B68</f>
        <v>0</v>
      </c>
      <c r="F68" s="57">
        <f>$O$5*D66</f>
        <v>0</v>
      </c>
      <c r="G68" s="135">
        <f>F68*$L$3</f>
        <v>0</v>
      </c>
      <c r="H68" s="138"/>
      <c r="I68" s="50"/>
    </row>
    <row r="69" spans="1:9" s="192" customFormat="1" ht="24.75" hidden="1" customHeight="1" x14ac:dyDescent="0.25">
      <c r="A69" s="237" t="s">
        <v>331</v>
      </c>
      <c r="B69" s="237"/>
      <c r="C69" s="237"/>
      <c r="D69" s="237"/>
      <c r="E69" s="238"/>
      <c r="F69" s="239"/>
      <c r="G69" s="240"/>
      <c r="H69" s="241">
        <f>SUM(G70:G72)</f>
        <v>0</v>
      </c>
      <c r="I69" s="50">
        <f>F69*12000</f>
        <v>0</v>
      </c>
    </row>
    <row r="70" spans="1:9" s="191" customFormat="1" ht="16.5" hidden="1" customHeight="1" x14ac:dyDescent="0.25">
      <c r="A70" s="198" t="s">
        <v>6</v>
      </c>
      <c r="B70" s="198"/>
      <c r="C70" s="198"/>
      <c r="D70" s="295">
        <f>VLOOKUP(RIGHT(LEFT(A69,11),4),'so nguoi'!$I$8:$N$21,2,0)</f>
        <v>0</v>
      </c>
      <c r="E70" s="61">
        <f>C70-B70</f>
        <v>0</v>
      </c>
      <c r="F70" s="62">
        <f>E70</f>
        <v>0</v>
      </c>
      <c r="G70" s="136">
        <f>F70*$L$2</f>
        <v>0</v>
      </c>
      <c r="H70" s="137"/>
      <c r="I70" s="50"/>
    </row>
    <row r="71" spans="1:9" s="191" customFormat="1" ht="16.5" hidden="1" customHeight="1" x14ac:dyDescent="0.25">
      <c r="A71" s="196" t="s">
        <v>36</v>
      </c>
      <c r="B71" s="196"/>
      <c r="C71" s="196"/>
      <c r="D71" s="296"/>
      <c r="E71" s="197">
        <f>C71-B71</f>
        <v>0</v>
      </c>
      <c r="F71" s="57">
        <f>E71</f>
        <v>0</v>
      </c>
      <c r="G71" s="135">
        <f>F71*$L$3</f>
        <v>0</v>
      </c>
      <c r="H71" s="137"/>
      <c r="I71" s="50"/>
    </row>
    <row r="72" spans="1:9" s="191" customFormat="1" ht="16.5" hidden="1" customHeight="1" x14ac:dyDescent="0.25">
      <c r="A72" s="196" t="s">
        <v>37</v>
      </c>
      <c r="B72" s="196"/>
      <c r="C72" s="196"/>
      <c r="D72" s="297"/>
      <c r="E72" s="197">
        <f>C72-B72</f>
        <v>0</v>
      </c>
      <c r="F72" s="57">
        <f>$O$5*D70</f>
        <v>0</v>
      </c>
      <c r="G72" s="135">
        <f>F72*$L$3</f>
        <v>0</v>
      </c>
      <c r="H72" s="138"/>
      <c r="I72" s="50"/>
    </row>
    <row r="73" spans="1:9" s="192" customFormat="1" ht="24.75" hidden="1" customHeight="1" x14ac:dyDescent="0.25">
      <c r="A73" s="237" t="s">
        <v>332</v>
      </c>
      <c r="B73" s="237"/>
      <c r="C73" s="237"/>
      <c r="D73" s="237"/>
      <c r="E73" s="238"/>
      <c r="F73" s="239"/>
      <c r="G73" s="240"/>
      <c r="H73" s="241">
        <f>SUM(G74:G76)</f>
        <v>0</v>
      </c>
      <c r="I73" s="50">
        <f>F73*12000</f>
        <v>0</v>
      </c>
    </row>
    <row r="74" spans="1:9" s="191" customFormat="1" ht="16.5" hidden="1" customHeight="1" x14ac:dyDescent="0.25">
      <c r="A74" s="198" t="s">
        <v>6</v>
      </c>
      <c r="B74" s="198">
        <v>1309</v>
      </c>
      <c r="C74" s="198">
        <v>1309</v>
      </c>
      <c r="D74" s="295">
        <f>VLOOKUP(RIGHT(LEFT(A73,11),4),'so nguoi'!$I$8:$GI$21,2,0)</f>
        <v>0</v>
      </c>
      <c r="E74" s="61">
        <f>C74-B74</f>
        <v>0</v>
      </c>
      <c r="F74" s="62">
        <f>E74</f>
        <v>0</v>
      </c>
      <c r="G74" s="136">
        <f>F74*$L$2</f>
        <v>0</v>
      </c>
      <c r="H74" s="137"/>
      <c r="I74" s="50"/>
    </row>
    <row r="75" spans="1:9" s="191" customFormat="1" ht="16.5" hidden="1" customHeight="1" x14ac:dyDescent="0.25">
      <c r="A75" s="196" t="s">
        <v>36</v>
      </c>
      <c r="B75" s="196">
        <v>210</v>
      </c>
      <c r="C75" s="196">
        <v>210</v>
      </c>
      <c r="D75" s="296"/>
      <c r="E75" s="197">
        <f>C75-B75</f>
        <v>0</v>
      </c>
      <c r="F75" s="57">
        <f>E75</f>
        <v>0</v>
      </c>
      <c r="G75" s="135">
        <f>F75*$L$3</f>
        <v>0</v>
      </c>
      <c r="H75" s="137"/>
      <c r="I75" s="50"/>
    </row>
    <row r="76" spans="1:9" s="191" customFormat="1" ht="16.5" hidden="1" customHeight="1" x14ac:dyDescent="0.25">
      <c r="A76" s="196" t="s">
        <v>37</v>
      </c>
      <c r="B76" s="196">
        <v>313</v>
      </c>
      <c r="C76" s="196">
        <v>313</v>
      </c>
      <c r="D76" s="297"/>
      <c r="E76" s="197">
        <f>C76-B76</f>
        <v>0</v>
      </c>
      <c r="F76" s="57">
        <f>$O$5*D74</f>
        <v>0</v>
      </c>
      <c r="G76" s="135">
        <f>F76*$L$3</f>
        <v>0</v>
      </c>
      <c r="H76" s="138"/>
      <c r="I76" s="50"/>
    </row>
    <row r="77" spans="1:9" s="192" customFormat="1" ht="24.75" hidden="1" customHeight="1" x14ac:dyDescent="0.25">
      <c r="A77" s="237" t="s">
        <v>333</v>
      </c>
      <c r="B77" s="237"/>
      <c r="C77" s="237"/>
      <c r="D77" s="237"/>
      <c r="E77" s="238"/>
      <c r="F77" s="239"/>
      <c r="G77" s="240"/>
      <c r="H77" s="241">
        <f>SUM(G78:G80)</f>
        <v>0</v>
      </c>
      <c r="I77" s="50">
        <f>F77*12000</f>
        <v>0</v>
      </c>
    </row>
    <row r="78" spans="1:9" s="191" customFormat="1" ht="16.5" hidden="1" customHeight="1" x14ac:dyDescent="0.25">
      <c r="A78" s="198" t="s">
        <v>6</v>
      </c>
      <c r="B78" s="198">
        <v>3821</v>
      </c>
      <c r="C78" s="198">
        <v>3821</v>
      </c>
      <c r="D78" s="295">
        <f>VLOOKUP(RIGHT(LEFT(A77,11),4),'so nguoi'!$I$8:$N$21,2,0)</f>
        <v>0</v>
      </c>
      <c r="E78" s="61">
        <f>C78-B78</f>
        <v>0</v>
      </c>
      <c r="F78" s="62">
        <f>E78</f>
        <v>0</v>
      </c>
      <c r="G78" s="136">
        <f>F78*$L$2</f>
        <v>0</v>
      </c>
      <c r="H78" s="137"/>
      <c r="I78" s="50"/>
    </row>
    <row r="79" spans="1:9" s="191" customFormat="1" ht="16.5" hidden="1" customHeight="1" x14ac:dyDescent="0.25">
      <c r="A79" s="196" t="s">
        <v>36</v>
      </c>
      <c r="B79" s="196">
        <v>109</v>
      </c>
      <c r="C79" s="196">
        <v>109</v>
      </c>
      <c r="D79" s="296"/>
      <c r="E79" s="197">
        <f>C79-B79</f>
        <v>0</v>
      </c>
      <c r="F79" s="57">
        <f>E79</f>
        <v>0</v>
      </c>
      <c r="G79" s="135">
        <f>F79*$L$3</f>
        <v>0</v>
      </c>
      <c r="H79" s="137"/>
      <c r="I79" s="50"/>
    </row>
    <row r="80" spans="1:9" s="191" customFormat="1" ht="16.5" hidden="1" customHeight="1" x14ac:dyDescent="0.25">
      <c r="A80" s="196" t="s">
        <v>37</v>
      </c>
      <c r="B80" s="196">
        <v>313</v>
      </c>
      <c r="C80" s="196">
        <v>313</v>
      </c>
      <c r="D80" s="297"/>
      <c r="E80" s="197">
        <f>C80-B80</f>
        <v>0</v>
      </c>
      <c r="F80" s="57">
        <f>$O$5*D78</f>
        <v>0</v>
      </c>
      <c r="G80" s="135">
        <f>F80*$L$3</f>
        <v>0</v>
      </c>
      <c r="H80" s="138"/>
      <c r="I80" s="50"/>
    </row>
    <row r="81" spans="1:9" s="192" customFormat="1" ht="24.75" hidden="1" customHeight="1" x14ac:dyDescent="0.25">
      <c r="A81" s="237" t="s">
        <v>334</v>
      </c>
      <c r="B81" s="237"/>
      <c r="C81" s="237"/>
      <c r="D81" s="237"/>
      <c r="E81" s="238"/>
      <c r="F81" s="239"/>
      <c r="G81" s="240"/>
      <c r="H81" s="241">
        <f>SUM(G82:G84)</f>
        <v>0</v>
      </c>
      <c r="I81" s="50">
        <f>F81*12000</f>
        <v>0</v>
      </c>
    </row>
    <row r="82" spans="1:9" s="191" customFormat="1" ht="16.5" hidden="1" customHeight="1" x14ac:dyDescent="0.25">
      <c r="A82" s="198" t="s">
        <v>6</v>
      </c>
      <c r="B82" s="198">
        <v>12599</v>
      </c>
      <c r="C82" s="198">
        <v>12599</v>
      </c>
      <c r="D82" s="295">
        <f>VLOOKUP(RIGHT(LEFT(A81,11),4),'so nguoi'!$I$8:$N$21,2,0)</f>
        <v>0</v>
      </c>
      <c r="E82" s="61">
        <f>C82-B82</f>
        <v>0</v>
      </c>
      <c r="F82" s="62">
        <f>E82</f>
        <v>0</v>
      </c>
      <c r="G82" s="136">
        <f>F82*$L$2</f>
        <v>0</v>
      </c>
      <c r="H82" s="137"/>
      <c r="I82" s="50"/>
    </row>
    <row r="83" spans="1:9" s="191" customFormat="1" ht="16.5" hidden="1" customHeight="1" x14ac:dyDescent="0.25">
      <c r="A83" s="196" t="s">
        <v>36</v>
      </c>
      <c r="B83" s="196">
        <v>123</v>
      </c>
      <c r="C83" s="196">
        <v>123</v>
      </c>
      <c r="D83" s="296"/>
      <c r="E83" s="197">
        <f>C83-B83</f>
        <v>0</v>
      </c>
      <c r="F83" s="57">
        <f>E83</f>
        <v>0</v>
      </c>
      <c r="G83" s="135">
        <f>F83*$L$3</f>
        <v>0</v>
      </c>
      <c r="H83" s="137"/>
      <c r="I83" s="50"/>
    </row>
    <row r="84" spans="1:9" s="191" customFormat="1" ht="16.5" hidden="1" customHeight="1" x14ac:dyDescent="0.25">
      <c r="A84" s="196" t="s">
        <v>37</v>
      </c>
      <c r="B84" s="196">
        <v>313</v>
      </c>
      <c r="C84" s="196">
        <v>313</v>
      </c>
      <c r="D84" s="297"/>
      <c r="E84" s="197">
        <f>C84-B84</f>
        <v>0</v>
      </c>
      <c r="F84" s="57">
        <f>$O$5*D82</f>
        <v>0</v>
      </c>
      <c r="G84" s="135">
        <f>F84*$L$3</f>
        <v>0</v>
      </c>
      <c r="H84" s="138"/>
      <c r="I84" s="50"/>
    </row>
    <row r="85" spans="1:9" s="192" customFormat="1" ht="24.75" hidden="1" customHeight="1" x14ac:dyDescent="0.25">
      <c r="A85" s="237" t="s">
        <v>335</v>
      </c>
      <c r="B85" s="237"/>
      <c r="C85" s="237"/>
      <c r="D85" s="237"/>
      <c r="E85" s="238"/>
      <c r="F85" s="239"/>
      <c r="G85" s="240"/>
      <c r="H85" s="241">
        <f>SUM(G86:G88)</f>
        <v>0</v>
      </c>
      <c r="I85" s="50">
        <f>F85*12000</f>
        <v>0</v>
      </c>
    </row>
    <row r="86" spans="1:9" s="191" customFormat="1" ht="16.5" hidden="1" customHeight="1" x14ac:dyDescent="0.25">
      <c r="A86" s="198" t="s">
        <v>6</v>
      </c>
      <c r="B86" s="198"/>
      <c r="C86" s="198"/>
      <c r="D86" s="295">
        <f>VLOOKUP(RIGHT(LEFT(A85,11),4),'so nguoi'!$I$8:$N$21,2,0)</f>
        <v>0</v>
      </c>
      <c r="E86" s="61">
        <f>C86-B86</f>
        <v>0</v>
      </c>
      <c r="F86" s="62">
        <f>E86</f>
        <v>0</v>
      </c>
      <c r="G86" s="136">
        <f>F86*$L$2</f>
        <v>0</v>
      </c>
      <c r="H86" s="137"/>
      <c r="I86" s="50"/>
    </row>
    <row r="87" spans="1:9" s="191" customFormat="1" ht="16.5" hidden="1" customHeight="1" x14ac:dyDescent="0.25">
      <c r="A87" s="196" t="s">
        <v>36</v>
      </c>
      <c r="B87" s="196"/>
      <c r="C87" s="196"/>
      <c r="D87" s="296"/>
      <c r="E87" s="197">
        <f>C87-B87</f>
        <v>0</v>
      </c>
      <c r="F87" s="57">
        <f>E87</f>
        <v>0</v>
      </c>
      <c r="G87" s="135">
        <f>F87*$L$3</f>
        <v>0</v>
      </c>
      <c r="H87" s="137"/>
      <c r="I87" s="50"/>
    </row>
    <row r="88" spans="1:9" s="191" customFormat="1" ht="16.5" hidden="1" customHeight="1" x14ac:dyDescent="0.25">
      <c r="A88" s="196" t="s">
        <v>37</v>
      </c>
      <c r="B88" s="196"/>
      <c r="C88" s="196"/>
      <c r="D88" s="297"/>
      <c r="E88" s="197">
        <f>C88-B88</f>
        <v>0</v>
      </c>
      <c r="F88" s="57">
        <f>$O$5*D86</f>
        <v>0</v>
      </c>
      <c r="G88" s="135">
        <f>F88*$L$3</f>
        <v>0</v>
      </c>
      <c r="H88" s="138"/>
      <c r="I88" s="50"/>
    </row>
    <row r="89" spans="1:9" s="192" customFormat="1" ht="24.75" hidden="1" customHeight="1" x14ac:dyDescent="0.25">
      <c r="A89" s="237" t="s">
        <v>336</v>
      </c>
      <c r="B89" s="237"/>
      <c r="C89" s="237"/>
      <c r="D89" s="237"/>
      <c r="E89" s="238"/>
      <c r="F89" s="239"/>
      <c r="G89" s="240"/>
      <c r="H89" s="241">
        <f>SUM(G90:G92)</f>
        <v>0</v>
      </c>
      <c r="I89" s="50">
        <f>F89*12000</f>
        <v>0</v>
      </c>
    </row>
    <row r="90" spans="1:9" s="191" customFormat="1" ht="16.5" hidden="1" customHeight="1" x14ac:dyDescent="0.25">
      <c r="A90" s="198" t="s">
        <v>6</v>
      </c>
      <c r="B90" s="198">
        <v>8844</v>
      </c>
      <c r="C90" s="198">
        <v>8844</v>
      </c>
      <c r="D90" s="295">
        <f>VLOOKUP(RIGHT(LEFT(A89,11),4),'so nguoi'!$I$8:$N$21,2,0)</f>
        <v>0</v>
      </c>
      <c r="E90" s="61">
        <f>C90-B90</f>
        <v>0</v>
      </c>
      <c r="F90" s="62">
        <f>E90</f>
        <v>0</v>
      </c>
      <c r="G90" s="136">
        <f>F90*$L$2</f>
        <v>0</v>
      </c>
      <c r="H90" s="137"/>
      <c r="I90" s="50"/>
    </row>
    <row r="91" spans="1:9" s="191" customFormat="1" ht="16.5" hidden="1" customHeight="1" x14ac:dyDescent="0.25">
      <c r="A91" s="196" t="s">
        <v>36</v>
      </c>
      <c r="B91" s="196">
        <v>152</v>
      </c>
      <c r="C91" s="196">
        <v>152</v>
      </c>
      <c r="D91" s="296"/>
      <c r="E91" s="197">
        <f>C91-B91</f>
        <v>0</v>
      </c>
      <c r="F91" s="57">
        <f>E91</f>
        <v>0</v>
      </c>
      <c r="G91" s="135">
        <f>F91*$L$3</f>
        <v>0</v>
      </c>
      <c r="H91" s="137"/>
      <c r="I91" s="50"/>
    </row>
    <row r="92" spans="1:9" s="191" customFormat="1" ht="16.5" hidden="1" customHeight="1" x14ac:dyDescent="0.25">
      <c r="A92" s="196" t="s">
        <v>37</v>
      </c>
      <c r="B92" s="196">
        <v>313</v>
      </c>
      <c r="C92" s="196">
        <v>313</v>
      </c>
      <c r="D92" s="297"/>
      <c r="E92" s="197">
        <f>C92-B92</f>
        <v>0</v>
      </c>
      <c r="F92" s="57">
        <f>$O$5*D90</f>
        <v>0</v>
      </c>
      <c r="G92" s="135">
        <f>F92*$L$3</f>
        <v>0</v>
      </c>
      <c r="H92" s="138"/>
      <c r="I92" s="50"/>
    </row>
    <row r="93" spans="1:9" s="192" customFormat="1" ht="24.75" hidden="1" customHeight="1" x14ac:dyDescent="0.25">
      <c r="A93" s="237" t="s">
        <v>337</v>
      </c>
      <c r="B93" s="237"/>
      <c r="C93" s="237"/>
      <c r="D93" s="237"/>
      <c r="E93" s="238"/>
      <c r="F93" s="239"/>
      <c r="G93" s="240"/>
      <c r="H93" s="241">
        <f>SUM(G94:G96)</f>
        <v>0</v>
      </c>
      <c r="I93" s="50">
        <f>F93*12000</f>
        <v>0</v>
      </c>
    </row>
    <row r="94" spans="1:9" s="191" customFormat="1" ht="16.5" hidden="1" customHeight="1" x14ac:dyDescent="0.25">
      <c r="A94" s="198" t="s">
        <v>6</v>
      </c>
      <c r="B94" s="198"/>
      <c r="C94" s="198"/>
      <c r="D94" s="295">
        <f>VLOOKUP(RIGHT(LEFT(A93,11),4),'so nguoi'!$I$8:$N$21,2,0)</f>
        <v>0</v>
      </c>
      <c r="E94" s="61">
        <f>C94-B94</f>
        <v>0</v>
      </c>
      <c r="F94" s="62">
        <f>E94</f>
        <v>0</v>
      </c>
      <c r="G94" s="136">
        <f>F94*$L$2</f>
        <v>0</v>
      </c>
      <c r="H94" s="137"/>
      <c r="I94" s="50"/>
    </row>
    <row r="95" spans="1:9" s="191" customFormat="1" ht="16.5" hidden="1" customHeight="1" x14ac:dyDescent="0.25">
      <c r="A95" s="196" t="s">
        <v>36</v>
      </c>
      <c r="B95" s="196"/>
      <c r="C95" s="196"/>
      <c r="D95" s="296"/>
      <c r="E95" s="197">
        <f>C95-B95</f>
        <v>0</v>
      </c>
      <c r="F95" s="57">
        <f>E95</f>
        <v>0</v>
      </c>
      <c r="G95" s="135">
        <f>F95*$L$3</f>
        <v>0</v>
      </c>
      <c r="H95" s="137"/>
      <c r="I95" s="50"/>
    </row>
    <row r="96" spans="1:9" s="191" customFormat="1" ht="16.5" hidden="1" customHeight="1" x14ac:dyDescent="0.25">
      <c r="A96" s="196" t="s">
        <v>37</v>
      </c>
      <c r="B96" s="196"/>
      <c r="C96" s="196"/>
      <c r="D96" s="297"/>
      <c r="E96" s="197">
        <f>C96-B96</f>
        <v>0</v>
      </c>
      <c r="F96" s="57">
        <f>$O$5*D94</f>
        <v>0</v>
      </c>
      <c r="G96" s="135">
        <f>F96*$L$3</f>
        <v>0</v>
      </c>
      <c r="H96" s="138"/>
      <c r="I96" s="50"/>
    </row>
    <row r="97" spans="1:9" s="192" customFormat="1" ht="24.75" hidden="1" customHeight="1" x14ac:dyDescent="0.25">
      <c r="A97" s="237" t="s">
        <v>338</v>
      </c>
      <c r="B97" s="237"/>
      <c r="C97" s="237"/>
      <c r="D97" s="237"/>
      <c r="E97" s="238"/>
      <c r="F97" s="239"/>
      <c r="G97" s="240"/>
      <c r="H97" s="241">
        <f>SUM(G98:G100)</f>
        <v>0</v>
      </c>
      <c r="I97" s="50">
        <f>F97*12000</f>
        <v>0</v>
      </c>
    </row>
    <row r="98" spans="1:9" s="191" customFormat="1" ht="16.5" hidden="1" customHeight="1" x14ac:dyDescent="0.25">
      <c r="A98" s="198" t="s">
        <v>6</v>
      </c>
      <c r="B98" s="198"/>
      <c r="C98" s="198"/>
      <c r="D98" s="295">
        <f>VLOOKUP(RIGHT(LEFT(A97,11),4),'so nguoi'!$K$8:$N$21,2,0)</f>
        <v>0</v>
      </c>
      <c r="E98" s="61">
        <f>C98-B98</f>
        <v>0</v>
      </c>
      <c r="F98" s="62">
        <f>E98</f>
        <v>0</v>
      </c>
      <c r="G98" s="136">
        <f>F98*$L$2</f>
        <v>0</v>
      </c>
      <c r="H98" s="137"/>
      <c r="I98" s="50"/>
    </row>
    <row r="99" spans="1:9" s="191" customFormat="1" ht="16.5" hidden="1" customHeight="1" x14ac:dyDescent="0.25">
      <c r="A99" s="196" t="s">
        <v>36</v>
      </c>
      <c r="B99" s="196"/>
      <c r="C99" s="196"/>
      <c r="D99" s="296"/>
      <c r="E99" s="197">
        <f>C99-B99</f>
        <v>0</v>
      </c>
      <c r="F99" s="57">
        <f>E99</f>
        <v>0</v>
      </c>
      <c r="G99" s="135">
        <f>F99*$L$3</f>
        <v>0</v>
      </c>
      <c r="H99" s="137"/>
      <c r="I99" s="50"/>
    </row>
    <row r="100" spans="1:9" s="191" customFormat="1" ht="16.5" hidden="1" customHeight="1" x14ac:dyDescent="0.25">
      <c r="A100" s="196" t="s">
        <v>37</v>
      </c>
      <c r="B100" s="196"/>
      <c r="C100" s="196"/>
      <c r="D100" s="297"/>
      <c r="E100" s="197">
        <f>C100-B100</f>
        <v>0</v>
      </c>
      <c r="F100" s="57">
        <f>$O$5*D98</f>
        <v>0</v>
      </c>
      <c r="G100" s="135">
        <f>F100*$L$3</f>
        <v>0</v>
      </c>
      <c r="H100" s="138"/>
      <c r="I100" s="50"/>
    </row>
    <row r="101" spans="1:9" s="192" customFormat="1" ht="24.75" hidden="1" customHeight="1" x14ac:dyDescent="0.25">
      <c r="A101" s="237" t="s">
        <v>339</v>
      </c>
      <c r="B101" s="237"/>
      <c r="C101" s="237"/>
      <c r="D101" s="237"/>
      <c r="E101" s="238"/>
      <c r="F101" s="239"/>
      <c r="G101" s="240"/>
      <c r="H101" s="241">
        <f>SUM(G102:G104)</f>
        <v>0</v>
      </c>
      <c r="I101" s="50">
        <f>F101*12000</f>
        <v>0</v>
      </c>
    </row>
    <row r="102" spans="1:9" s="191" customFormat="1" ht="16.5" hidden="1" customHeight="1" x14ac:dyDescent="0.25">
      <c r="A102" s="198" t="s">
        <v>6</v>
      </c>
      <c r="B102" s="198"/>
      <c r="C102" s="198"/>
      <c r="D102" s="295">
        <f>VLOOKUP(RIGHT(LEFT(A101,11),4),'so nguoi'!$K$8:$N$21,2,0)</f>
        <v>0</v>
      </c>
      <c r="E102" s="61">
        <f>C102-B102</f>
        <v>0</v>
      </c>
      <c r="F102" s="62">
        <f>E102</f>
        <v>0</v>
      </c>
      <c r="G102" s="136">
        <f>F102*$L$2</f>
        <v>0</v>
      </c>
      <c r="H102" s="137"/>
      <c r="I102" s="50"/>
    </row>
    <row r="103" spans="1:9" s="191" customFormat="1" ht="16.5" hidden="1" customHeight="1" x14ac:dyDescent="0.25">
      <c r="A103" s="196" t="s">
        <v>36</v>
      </c>
      <c r="B103" s="196"/>
      <c r="C103" s="196"/>
      <c r="D103" s="296"/>
      <c r="E103" s="197">
        <f>C103-B103</f>
        <v>0</v>
      </c>
      <c r="F103" s="57">
        <f>E103</f>
        <v>0</v>
      </c>
      <c r="G103" s="135">
        <f>F103*$L$3</f>
        <v>0</v>
      </c>
      <c r="H103" s="137"/>
      <c r="I103" s="50"/>
    </row>
    <row r="104" spans="1:9" s="191" customFormat="1" ht="16.5" hidden="1" customHeight="1" x14ac:dyDescent="0.25">
      <c r="A104" s="196" t="s">
        <v>37</v>
      </c>
      <c r="B104" s="196"/>
      <c r="C104" s="196"/>
      <c r="D104" s="297"/>
      <c r="E104" s="197">
        <f>C104-B104</f>
        <v>0</v>
      </c>
      <c r="F104" s="57">
        <f>$O$5*D102</f>
        <v>0</v>
      </c>
      <c r="G104" s="135">
        <f>F104*$L$3</f>
        <v>0</v>
      </c>
      <c r="H104" s="138"/>
      <c r="I104" s="50"/>
    </row>
    <row r="105" spans="1:9" ht="17.25" hidden="1" x14ac:dyDescent="0.25">
      <c r="A105" s="237" t="s">
        <v>340</v>
      </c>
      <c r="B105" s="237"/>
      <c r="C105" s="237"/>
      <c r="D105" s="237"/>
      <c r="E105" s="238"/>
      <c r="F105" s="239"/>
      <c r="G105" s="240"/>
      <c r="H105" s="241">
        <f>SUM(G106:G108)</f>
        <v>0</v>
      </c>
    </row>
    <row r="106" spans="1:9" ht="16.5" hidden="1" x14ac:dyDescent="0.25">
      <c r="A106" s="198" t="s">
        <v>6</v>
      </c>
      <c r="B106" s="198"/>
      <c r="C106" s="198"/>
      <c r="D106" s="295">
        <f>VLOOKUP(RIGHT(LEFT(A105,11),4),'so nguoi'!$K$8:$N$21,2,0)</f>
        <v>0</v>
      </c>
      <c r="E106" s="61">
        <f>C106-B106</f>
        <v>0</v>
      </c>
      <c r="F106" s="62">
        <f>E106</f>
        <v>0</v>
      </c>
      <c r="G106" s="136">
        <f>F106*$L$2</f>
        <v>0</v>
      </c>
      <c r="H106" s="137"/>
    </row>
    <row r="107" spans="1:9" ht="16.5" hidden="1" x14ac:dyDescent="0.25">
      <c r="A107" s="196" t="s">
        <v>36</v>
      </c>
      <c r="B107" s="196"/>
      <c r="C107" s="196"/>
      <c r="D107" s="296"/>
      <c r="E107" s="197">
        <f>C107-B107</f>
        <v>0</v>
      </c>
      <c r="F107" s="57">
        <f>E107</f>
        <v>0</v>
      </c>
      <c r="G107" s="135">
        <f>F107*$L$3</f>
        <v>0</v>
      </c>
      <c r="H107" s="137"/>
    </row>
    <row r="108" spans="1:9" ht="16.5" hidden="1" x14ac:dyDescent="0.25">
      <c r="A108" s="196" t="s">
        <v>37</v>
      </c>
      <c r="B108" s="196"/>
      <c r="C108" s="196"/>
      <c r="D108" s="297"/>
      <c r="E108" s="197">
        <f>C108-B108</f>
        <v>0</v>
      </c>
      <c r="F108" s="57">
        <f>$O$5*D106</f>
        <v>0</v>
      </c>
      <c r="G108" s="135">
        <f>F108*$L$3</f>
        <v>0</v>
      </c>
      <c r="H108" s="138"/>
    </row>
    <row r="109" spans="1:9" ht="17.25" hidden="1" x14ac:dyDescent="0.25">
      <c r="A109" s="237" t="s">
        <v>341</v>
      </c>
      <c r="B109" s="237"/>
      <c r="C109" s="237"/>
      <c r="D109" s="237"/>
      <c r="E109" s="238"/>
      <c r="F109" s="239"/>
      <c r="G109" s="240"/>
      <c r="H109" s="241">
        <f>SUM(G110:G112)</f>
        <v>0</v>
      </c>
    </row>
    <row r="110" spans="1:9" ht="16.5" hidden="1" x14ac:dyDescent="0.25">
      <c r="A110" s="198" t="s">
        <v>6</v>
      </c>
      <c r="B110" s="198"/>
      <c r="C110" s="198"/>
      <c r="D110" s="295">
        <f>VLOOKUP(RIGHT(LEFT(A109,11),4),'so nguoi'!$K$8:$N$21,2,0)</f>
        <v>0</v>
      </c>
      <c r="E110" s="61">
        <f>C110-B110</f>
        <v>0</v>
      </c>
      <c r="F110" s="62">
        <f>E110</f>
        <v>0</v>
      </c>
      <c r="G110" s="136">
        <f>F110*$L$2</f>
        <v>0</v>
      </c>
      <c r="H110" s="137"/>
    </row>
    <row r="111" spans="1:9" ht="16.5" hidden="1" x14ac:dyDescent="0.25">
      <c r="A111" s="196" t="s">
        <v>36</v>
      </c>
      <c r="B111" s="196"/>
      <c r="C111" s="196"/>
      <c r="D111" s="296"/>
      <c r="E111" s="197">
        <f>C111-B111</f>
        <v>0</v>
      </c>
      <c r="F111" s="57">
        <f>E111</f>
        <v>0</v>
      </c>
      <c r="G111" s="135">
        <f>F111*$L$3</f>
        <v>0</v>
      </c>
      <c r="H111" s="137"/>
    </row>
    <row r="112" spans="1:9" ht="16.5" hidden="1" x14ac:dyDescent="0.25">
      <c r="A112" s="196" t="s">
        <v>37</v>
      </c>
      <c r="B112" s="196"/>
      <c r="C112" s="196"/>
      <c r="D112" s="297"/>
      <c r="E112" s="197">
        <f>C112-B112</f>
        <v>0</v>
      </c>
      <c r="F112" s="57">
        <f>$O$5*D110</f>
        <v>0</v>
      </c>
      <c r="G112" s="135">
        <f>F112*$L$3</f>
        <v>0</v>
      </c>
      <c r="H112" s="138"/>
    </row>
    <row r="113" spans="1:8" ht="17.25" hidden="1" x14ac:dyDescent="0.25">
      <c r="A113" s="237" t="s">
        <v>342</v>
      </c>
      <c r="B113" s="237"/>
      <c r="C113" s="237"/>
      <c r="D113" s="237"/>
      <c r="E113" s="238"/>
      <c r="F113" s="239"/>
      <c r="G113" s="240"/>
      <c r="H113" s="241">
        <f>SUM(G114:G116)</f>
        <v>0</v>
      </c>
    </row>
    <row r="114" spans="1:8" ht="16.5" hidden="1" x14ac:dyDescent="0.25">
      <c r="A114" s="198" t="s">
        <v>6</v>
      </c>
      <c r="B114" s="198"/>
      <c r="C114" s="198"/>
      <c r="D114" s="295">
        <f>VLOOKUP(RIGHT(LEFT(A113,11),4),'so nguoi'!$K$8:$N$21,2,0)</f>
        <v>0</v>
      </c>
      <c r="E114" s="61">
        <f>C114-B114</f>
        <v>0</v>
      </c>
      <c r="F114" s="62">
        <f>E114</f>
        <v>0</v>
      </c>
      <c r="G114" s="136">
        <f>F114*$L$2</f>
        <v>0</v>
      </c>
      <c r="H114" s="137"/>
    </row>
    <row r="115" spans="1:8" ht="16.5" hidden="1" x14ac:dyDescent="0.25">
      <c r="A115" s="196" t="s">
        <v>36</v>
      </c>
      <c r="B115" s="196"/>
      <c r="C115" s="196"/>
      <c r="D115" s="296"/>
      <c r="E115" s="197">
        <f>C115-B115</f>
        <v>0</v>
      </c>
      <c r="F115" s="57">
        <f>E115</f>
        <v>0</v>
      </c>
      <c r="G115" s="135">
        <f>F115*$L$3</f>
        <v>0</v>
      </c>
      <c r="H115" s="137"/>
    </row>
    <row r="116" spans="1:8" ht="16.5" hidden="1" x14ac:dyDescent="0.25">
      <c r="A116" s="196" t="s">
        <v>37</v>
      </c>
      <c r="B116" s="196"/>
      <c r="C116" s="196"/>
      <c r="D116" s="297"/>
      <c r="E116" s="197">
        <f>C116-B116</f>
        <v>0</v>
      </c>
      <c r="F116" s="57">
        <f>$O$5*D114</f>
        <v>0</v>
      </c>
      <c r="G116" s="135">
        <f>F116*$L$3</f>
        <v>0</v>
      </c>
      <c r="H116" s="138"/>
    </row>
    <row r="117" spans="1:8" ht="17.25" hidden="1" x14ac:dyDescent="0.25">
      <c r="A117" s="237" t="s">
        <v>343</v>
      </c>
      <c r="B117" s="237"/>
      <c r="C117" s="237"/>
      <c r="D117" s="237"/>
      <c r="E117" s="238"/>
      <c r="F117" s="239"/>
      <c r="G117" s="240"/>
      <c r="H117" s="241">
        <f>SUM(G118:G120)</f>
        <v>0</v>
      </c>
    </row>
    <row r="118" spans="1:8" ht="16.5" hidden="1" x14ac:dyDescent="0.25">
      <c r="A118" s="198" t="s">
        <v>6</v>
      </c>
      <c r="B118" s="198"/>
      <c r="C118" s="198"/>
      <c r="D118" s="295">
        <f>VLOOKUP(RIGHT(LEFT(A117,11),4),'so nguoi'!$K$8:$N$21,2,0)</f>
        <v>0</v>
      </c>
      <c r="E118" s="61">
        <f>C118-B118</f>
        <v>0</v>
      </c>
      <c r="F118" s="62">
        <f>E118</f>
        <v>0</v>
      </c>
      <c r="G118" s="136">
        <f>F118*$L$2</f>
        <v>0</v>
      </c>
      <c r="H118" s="137"/>
    </row>
    <row r="119" spans="1:8" ht="16.5" hidden="1" x14ac:dyDescent="0.25">
      <c r="A119" s="196" t="s">
        <v>36</v>
      </c>
      <c r="B119" s="196"/>
      <c r="C119" s="196"/>
      <c r="D119" s="296"/>
      <c r="E119" s="197">
        <f>C119-B119</f>
        <v>0</v>
      </c>
      <c r="F119" s="57">
        <f>E119</f>
        <v>0</v>
      </c>
      <c r="G119" s="135">
        <f>F119*$L$3</f>
        <v>0</v>
      </c>
      <c r="H119" s="137"/>
    </row>
    <row r="120" spans="1:8" ht="16.5" hidden="1" x14ac:dyDescent="0.25">
      <c r="A120" s="196" t="s">
        <v>37</v>
      </c>
      <c r="B120" s="196"/>
      <c r="C120" s="196"/>
      <c r="D120" s="297"/>
      <c r="E120" s="197">
        <f>C120-B120</f>
        <v>0</v>
      </c>
      <c r="F120" s="57">
        <f>$O$5*D118</f>
        <v>0</v>
      </c>
      <c r="G120" s="135">
        <f>F120*$L$3</f>
        <v>0</v>
      </c>
      <c r="H120" s="138"/>
    </row>
    <row r="121" spans="1:8" ht="17.25" hidden="1" x14ac:dyDescent="0.25">
      <c r="A121" s="237" t="s">
        <v>344</v>
      </c>
      <c r="B121" s="237"/>
      <c r="C121" s="237"/>
      <c r="D121" s="237"/>
      <c r="E121" s="238"/>
      <c r="F121" s="239"/>
      <c r="G121" s="240"/>
      <c r="H121" s="241">
        <f>SUM(G122:G124)</f>
        <v>0</v>
      </c>
    </row>
    <row r="122" spans="1:8" ht="16.5" hidden="1" x14ac:dyDescent="0.25">
      <c r="A122" s="198" t="s">
        <v>6</v>
      </c>
      <c r="B122" s="198"/>
      <c r="C122" s="198"/>
      <c r="D122" s="295">
        <f>VLOOKUP(RIGHT(LEFT(A121,11),4),'so nguoi'!$K$8:$N$21,2,0)</f>
        <v>0</v>
      </c>
      <c r="E122" s="61">
        <f>C122-B122</f>
        <v>0</v>
      </c>
      <c r="F122" s="62">
        <f>E122</f>
        <v>0</v>
      </c>
      <c r="G122" s="136">
        <f>F122*$L$2</f>
        <v>0</v>
      </c>
      <c r="H122" s="137"/>
    </row>
    <row r="123" spans="1:8" ht="16.5" hidden="1" x14ac:dyDescent="0.25">
      <c r="A123" s="196" t="s">
        <v>36</v>
      </c>
      <c r="B123" s="196"/>
      <c r="C123" s="196"/>
      <c r="D123" s="296"/>
      <c r="E123" s="197">
        <f>C123-B123</f>
        <v>0</v>
      </c>
      <c r="F123" s="57">
        <f>E123</f>
        <v>0</v>
      </c>
      <c r="G123" s="135">
        <f>F123*$L$3</f>
        <v>0</v>
      </c>
      <c r="H123" s="137"/>
    </row>
    <row r="124" spans="1:8" ht="16.5" hidden="1" x14ac:dyDescent="0.25">
      <c r="A124" s="196" t="s">
        <v>37</v>
      </c>
      <c r="B124" s="196"/>
      <c r="C124" s="196"/>
      <c r="D124" s="297"/>
      <c r="E124" s="197">
        <f>C124-B124</f>
        <v>0</v>
      </c>
      <c r="F124" s="57">
        <f>$O$5*D122</f>
        <v>0</v>
      </c>
      <c r="G124" s="135">
        <f>F124*$L$3</f>
        <v>0</v>
      </c>
      <c r="H124" s="138"/>
    </row>
    <row r="125" spans="1:8" ht="17.25" hidden="1" x14ac:dyDescent="0.25">
      <c r="A125" s="237" t="s">
        <v>345</v>
      </c>
      <c r="B125" s="237"/>
      <c r="C125" s="237"/>
      <c r="D125" s="237"/>
      <c r="E125" s="238"/>
      <c r="F125" s="239"/>
      <c r="G125" s="240"/>
      <c r="H125" s="241">
        <f>SUM(G126:G128)</f>
        <v>0</v>
      </c>
    </row>
    <row r="126" spans="1:8" ht="16.5" hidden="1" x14ac:dyDescent="0.25">
      <c r="A126" s="198" t="s">
        <v>6</v>
      </c>
      <c r="B126" s="198"/>
      <c r="C126" s="198"/>
      <c r="D126" s="295">
        <f>VLOOKUP(RIGHT(LEFT(A125,11),4),'so nguoi'!$K$8:$N$21,2,0)</f>
        <v>0</v>
      </c>
      <c r="E126" s="61">
        <f>C126-B126</f>
        <v>0</v>
      </c>
      <c r="F126" s="62">
        <f>E126</f>
        <v>0</v>
      </c>
      <c r="G126" s="136">
        <f>F126*$L$2</f>
        <v>0</v>
      </c>
      <c r="H126" s="137"/>
    </row>
    <row r="127" spans="1:8" ht="16.5" hidden="1" x14ac:dyDescent="0.25">
      <c r="A127" s="196" t="s">
        <v>36</v>
      </c>
      <c r="B127" s="196"/>
      <c r="C127" s="196"/>
      <c r="D127" s="296"/>
      <c r="E127" s="197">
        <f>C127-B127</f>
        <v>0</v>
      </c>
      <c r="F127" s="57">
        <f>E127</f>
        <v>0</v>
      </c>
      <c r="G127" s="135">
        <f>F127*$L$3</f>
        <v>0</v>
      </c>
      <c r="H127" s="137"/>
    </row>
    <row r="128" spans="1:8" ht="16.5" hidden="1" x14ac:dyDescent="0.25">
      <c r="A128" s="196" t="s">
        <v>37</v>
      </c>
      <c r="B128" s="196"/>
      <c r="C128" s="196"/>
      <c r="D128" s="297"/>
      <c r="E128" s="197">
        <f>C128-B128</f>
        <v>0</v>
      </c>
      <c r="F128" s="57">
        <f>$O$5*D126</f>
        <v>0</v>
      </c>
      <c r="G128" s="135">
        <f>F128*$L$3</f>
        <v>0</v>
      </c>
      <c r="H128" s="138"/>
    </row>
    <row r="129" spans="1:11" ht="17.25" hidden="1" x14ac:dyDescent="0.25">
      <c r="A129" s="237" t="s">
        <v>346</v>
      </c>
      <c r="B129" s="237"/>
      <c r="C129" s="237"/>
      <c r="D129" s="237"/>
      <c r="E129" s="238"/>
      <c r="F129" s="239"/>
      <c r="G129" s="240"/>
      <c r="H129" s="241">
        <f>SUM(G130:G132)</f>
        <v>0</v>
      </c>
    </row>
    <row r="130" spans="1:11" ht="16.5" hidden="1" x14ac:dyDescent="0.25">
      <c r="A130" s="198" t="s">
        <v>6</v>
      </c>
      <c r="B130" s="198"/>
      <c r="C130" s="198"/>
      <c r="D130" s="295">
        <f>VLOOKUP(RIGHT(LEFT(A129,11),4),'so nguoi'!$K$8:$N$21,2,0)</f>
        <v>0</v>
      </c>
      <c r="E130" s="61">
        <f>C130-B130</f>
        <v>0</v>
      </c>
      <c r="F130" s="62">
        <f>E130</f>
        <v>0</v>
      </c>
      <c r="G130" s="136">
        <f>F130*$L$2</f>
        <v>0</v>
      </c>
      <c r="H130" s="137"/>
    </row>
    <row r="131" spans="1:11" ht="16.5" hidden="1" x14ac:dyDescent="0.25">
      <c r="A131" s="196" t="s">
        <v>36</v>
      </c>
      <c r="B131" s="196"/>
      <c r="C131" s="196"/>
      <c r="D131" s="296"/>
      <c r="E131" s="197">
        <f>C131-B131</f>
        <v>0</v>
      </c>
      <c r="F131" s="57">
        <f>E131</f>
        <v>0</v>
      </c>
      <c r="G131" s="135">
        <f>F131*$L$3</f>
        <v>0</v>
      </c>
      <c r="H131" s="137"/>
    </row>
    <row r="132" spans="1:11" ht="16.5" hidden="1" x14ac:dyDescent="0.25">
      <c r="A132" s="196" t="s">
        <v>37</v>
      </c>
      <c r="B132" s="196"/>
      <c r="C132" s="196"/>
      <c r="D132" s="297"/>
      <c r="E132" s="197">
        <f>C132-B132</f>
        <v>0</v>
      </c>
      <c r="F132" s="57">
        <f>$O$5*D130</f>
        <v>0</v>
      </c>
      <c r="G132" s="135">
        <f>F132*$L$3</f>
        <v>0</v>
      </c>
      <c r="H132" s="138"/>
    </row>
    <row r="133" spans="1:11" ht="17.25" hidden="1" x14ac:dyDescent="0.25">
      <c r="A133" s="237" t="s">
        <v>347</v>
      </c>
      <c r="B133" s="237"/>
      <c r="C133" s="237"/>
      <c r="D133" s="237"/>
      <c r="E133" s="238"/>
      <c r="F133" s="239"/>
      <c r="G133" s="240"/>
      <c r="H133" s="241">
        <f>SUM(G134:G136)</f>
        <v>0</v>
      </c>
    </row>
    <row r="134" spans="1:11" ht="16.5" hidden="1" x14ac:dyDescent="0.25">
      <c r="A134" s="198" t="s">
        <v>6</v>
      </c>
      <c r="B134" s="198"/>
      <c r="C134" s="198"/>
      <c r="D134" s="295">
        <f>VLOOKUP(RIGHT(LEFT(A133,11),4),'so nguoi'!$K$8:$N$21,2,0)</f>
        <v>0</v>
      </c>
      <c r="E134" s="61">
        <f>C134-B134</f>
        <v>0</v>
      </c>
      <c r="F134" s="62">
        <f>E134</f>
        <v>0</v>
      </c>
      <c r="G134" s="136">
        <f>F134*$L$2</f>
        <v>0</v>
      </c>
      <c r="H134" s="137"/>
    </row>
    <row r="135" spans="1:11" ht="16.5" hidden="1" x14ac:dyDescent="0.25">
      <c r="A135" s="196" t="s">
        <v>36</v>
      </c>
      <c r="B135" s="196"/>
      <c r="C135" s="196"/>
      <c r="D135" s="296"/>
      <c r="E135" s="197">
        <f>C135-B135</f>
        <v>0</v>
      </c>
      <c r="F135" s="57">
        <f>E135</f>
        <v>0</v>
      </c>
      <c r="G135" s="135">
        <f>F135*$L$3</f>
        <v>0</v>
      </c>
      <c r="H135" s="137"/>
    </row>
    <row r="136" spans="1:11" ht="16.5" hidden="1" x14ac:dyDescent="0.25">
      <c r="A136" s="196" t="s">
        <v>37</v>
      </c>
      <c r="B136" s="196"/>
      <c r="C136" s="196"/>
      <c r="D136" s="297"/>
      <c r="E136" s="197">
        <f>C136-B136</f>
        <v>0</v>
      </c>
      <c r="F136" s="57">
        <f>$O$5*D134</f>
        <v>0</v>
      </c>
      <c r="G136" s="135">
        <f>F136*$L$3</f>
        <v>0</v>
      </c>
      <c r="H136" s="138"/>
    </row>
    <row r="137" spans="1:11" ht="17.25" hidden="1" x14ac:dyDescent="0.25">
      <c r="A137" s="237" t="s">
        <v>348</v>
      </c>
      <c r="B137" s="237"/>
      <c r="C137" s="237"/>
      <c r="D137" s="237"/>
      <c r="E137" s="238"/>
      <c r="F137" s="239"/>
      <c r="G137" s="240"/>
      <c r="H137" s="241">
        <f>SUM(G138:G140)</f>
        <v>0</v>
      </c>
    </row>
    <row r="138" spans="1:11" ht="16.5" hidden="1" x14ac:dyDescent="0.25">
      <c r="A138" s="198" t="s">
        <v>6</v>
      </c>
      <c r="B138" s="198"/>
      <c r="C138" s="198"/>
      <c r="D138" s="295">
        <f>VLOOKUP(RIGHT(LEFT(A137,11),4),'so nguoi'!$K$8:$N$21,2,0)</f>
        <v>0</v>
      </c>
      <c r="E138" s="61">
        <f>C138-B138</f>
        <v>0</v>
      </c>
      <c r="F138" s="62">
        <f>E138</f>
        <v>0</v>
      </c>
      <c r="G138" s="136">
        <f>F138*$L$2</f>
        <v>0</v>
      </c>
      <c r="H138" s="137"/>
    </row>
    <row r="139" spans="1:11" ht="16.5" hidden="1" x14ac:dyDescent="0.25">
      <c r="A139" s="196" t="s">
        <v>36</v>
      </c>
      <c r="B139" s="196"/>
      <c r="C139" s="196"/>
      <c r="D139" s="296"/>
      <c r="E139" s="197">
        <f>C139-B139</f>
        <v>0</v>
      </c>
      <c r="F139" s="57">
        <f>E139</f>
        <v>0</v>
      </c>
      <c r="G139" s="135">
        <f>F139*$L$3</f>
        <v>0</v>
      </c>
      <c r="H139" s="137"/>
    </row>
    <row r="140" spans="1:11" ht="16.5" hidden="1" x14ac:dyDescent="0.25">
      <c r="A140" s="196" t="s">
        <v>37</v>
      </c>
      <c r="B140" s="196"/>
      <c r="C140" s="196"/>
      <c r="D140" s="297"/>
      <c r="E140" s="197">
        <f>C140-B140</f>
        <v>0</v>
      </c>
      <c r="F140" s="57">
        <f>$O$5*D138</f>
        <v>0</v>
      </c>
      <c r="G140" s="135">
        <f>F140*$L$3</f>
        <v>0</v>
      </c>
      <c r="H140" s="138"/>
    </row>
    <row r="141" spans="1:11" s="191" customFormat="1" ht="23.25" customHeight="1" x14ac:dyDescent="0.25">
      <c r="A141" s="278" t="s">
        <v>13</v>
      </c>
      <c r="B141" s="279"/>
      <c r="C141" s="279"/>
      <c r="D141" s="279"/>
      <c r="E141" s="279"/>
      <c r="F141" s="280"/>
      <c r="G141" s="73">
        <f ca="1">SUMIF($A$8:$F$140,"Điện",G8:G140)</f>
        <v>1670400</v>
      </c>
      <c r="H141" s="73">
        <f ca="1">SUMIF($A$8:$F$140,"Điện",F8:F140)</f>
        <v>576</v>
      </c>
      <c r="I141" s="50" t="e">
        <f>#REF!-H142</f>
        <v>#REF!</v>
      </c>
    </row>
    <row r="142" spans="1:11" s="191" customFormat="1" ht="23.25" customHeight="1" x14ac:dyDescent="0.25">
      <c r="A142" s="278" t="s">
        <v>14</v>
      </c>
      <c r="B142" s="279"/>
      <c r="C142" s="279"/>
      <c r="D142" s="279"/>
      <c r="E142" s="279"/>
      <c r="F142" s="280"/>
      <c r="G142" s="73">
        <f ca="1">SUMIF($A$8:$F$140,"Nước nhà tắm",G8:G140)+SUMIF($A$8:$F$140,"Nước Nhà VS",G8:G140)</f>
        <v>1434461.5384615385</v>
      </c>
      <c r="H142" s="103">
        <f>SUMIF($A$8:$A$140,"Nước nhà tắm",F8:F140)+SUMIF($A$8:$A$140,"Nước Nhà VS",F8:F140)</f>
        <v>79.692307692307693</v>
      </c>
      <c r="I142" s="104">
        <f>H142*15000</f>
        <v>1195384.6153846155</v>
      </c>
      <c r="J142" s="106">
        <f ca="1">I142-G142</f>
        <v>-239076.92307692301</v>
      </c>
      <c r="K142" s="25">
        <f ca="1">G142/15000</f>
        <v>95.630769230769232</v>
      </c>
    </row>
    <row r="143" spans="1:11" s="191" customFormat="1" ht="23.25" customHeight="1" x14ac:dyDescent="0.25">
      <c r="A143" s="278" t="s">
        <v>15</v>
      </c>
      <c r="B143" s="279"/>
      <c r="C143" s="279"/>
      <c r="D143" s="279"/>
      <c r="E143" s="279"/>
      <c r="F143" s="280"/>
      <c r="G143" s="73">
        <f ca="1">SUM(G141:G142)</f>
        <v>3104861.5384615385</v>
      </c>
      <c r="H143" s="74"/>
      <c r="I143" s="50"/>
      <c r="J143" s="25"/>
    </row>
  </sheetData>
  <mergeCells count="39">
    <mergeCell ref="A141:F141"/>
    <mergeCell ref="A142:F142"/>
    <mergeCell ref="A143:F143"/>
    <mergeCell ref="D90:D92"/>
    <mergeCell ref="D94:D96"/>
    <mergeCell ref="D98:D100"/>
    <mergeCell ref="D102:D104"/>
    <mergeCell ref="D126:D128"/>
    <mergeCell ref="D130:D132"/>
    <mergeCell ref="D134:D136"/>
    <mergeCell ref="D138:D140"/>
    <mergeCell ref="D106:D108"/>
    <mergeCell ref="D110:D112"/>
    <mergeCell ref="D114:D116"/>
    <mergeCell ref="D118:D120"/>
    <mergeCell ref="D122:D124"/>
    <mergeCell ref="D70:D72"/>
    <mergeCell ref="D74:D76"/>
    <mergeCell ref="D78:D80"/>
    <mergeCell ref="D82:D84"/>
    <mergeCell ref="D86:D88"/>
    <mergeCell ref="D50:D52"/>
    <mergeCell ref="D54:D56"/>
    <mergeCell ref="D58:D60"/>
    <mergeCell ref="D62:D64"/>
    <mergeCell ref="D66:D68"/>
    <mergeCell ref="D42:D44"/>
    <mergeCell ref="D46:D48"/>
    <mergeCell ref="D22:D24"/>
    <mergeCell ref="D26:D28"/>
    <mergeCell ref="A2:H2"/>
    <mergeCell ref="A4:H4"/>
    <mergeCell ref="D10:D12"/>
    <mergeCell ref="D14:D16"/>
    <mergeCell ref="A5:H5"/>
    <mergeCell ref="D30:D32"/>
    <mergeCell ref="D18:D20"/>
    <mergeCell ref="D34:D36"/>
    <mergeCell ref="D38:D40"/>
  </mergeCells>
  <pageMargins left="0.22" right="0.18" top="0.33" bottom="0.21" header="0.17" footer="0.3"/>
  <pageSetup paperSize="9" scale="98" fitToHeight="0" orientation="portrait" r:id="rId1"/>
  <headerFooter alignWithMargins="0">
    <oddFooter>Page &amp;P</oddFooter>
  </headerFooter>
  <rowBreaks count="1" manualBreakCount="1">
    <brk id="88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opLeftCell="A4" workbookViewId="0">
      <selection activeCell="F21" sqref="F21"/>
    </sheetView>
  </sheetViews>
  <sheetFormatPr defaultRowHeight="15" x14ac:dyDescent="0.25"/>
  <cols>
    <col min="1" max="1" width="19.28515625" customWidth="1"/>
    <col min="2" max="2" width="0" hidden="1" customWidth="1"/>
    <col min="3" max="3" width="0.42578125" customWidth="1"/>
    <col min="4" max="4" width="13.28515625" customWidth="1"/>
    <col min="5" max="5" width="12" customWidth="1"/>
    <col min="6" max="6" width="37.42578125" customWidth="1"/>
    <col min="7" max="7" width="13.140625" customWidth="1"/>
  </cols>
  <sheetData>
    <row r="1" spans="1:7" ht="15.75" x14ac:dyDescent="0.25">
      <c r="A1" s="284" t="s">
        <v>189</v>
      </c>
      <c r="B1" s="284"/>
      <c r="C1" s="284"/>
      <c r="D1" s="284"/>
      <c r="E1" s="284"/>
      <c r="F1" s="284"/>
      <c r="G1" s="284"/>
    </row>
    <row r="2" spans="1:7" ht="15.75" x14ac:dyDescent="0.25">
      <c r="A2" s="285" t="s">
        <v>190</v>
      </c>
      <c r="B2" s="285"/>
      <c r="C2" s="285"/>
      <c r="D2" s="285"/>
      <c r="E2" s="285"/>
      <c r="F2" s="285"/>
      <c r="G2" s="285"/>
    </row>
    <row r="3" spans="1:7" x14ac:dyDescent="0.25">
      <c r="A3" s="191"/>
      <c r="B3" s="191"/>
      <c r="C3" s="191"/>
      <c r="D3" s="4"/>
      <c r="E3" s="21"/>
      <c r="F3" s="3"/>
      <c r="G3" s="191"/>
    </row>
    <row r="4" spans="1:7" ht="16.5" x14ac:dyDescent="0.25">
      <c r="A4" s="170" t="str">
        <f>"BẢNG TỔNG HỢP ĐIỆN - NƯỚC SINH HOẠT KÝ TÚC XÁ KHU K " &amp; 'Khu K107-K211'!L1</f>
        <v>BẢNG TỔNG HỢP ĐIỆN - NƯỚC SINH HOẠT KÝ TÚC XÁ KHU K THÁNG 1-5/2019</v>
      </c>
      <c r="B4" s="170"/>
      <c r="C4" s="170"/>
      <c r="D4" s="170"/>
      <c r="E4" s="170"/>
      <c r="F4" s="170"/>
      <c r="G4" s="170"/>
    </row>
    <row r="5" spans="1:7" x14ac:dyDescent="0.25">
      <c r="A5" s="277"/>
      <c r="B5" s="277"/>
      <c r="C5" s="277"/>
      <c r="D5" s="277"/>
      <c r="E5" s="277"/>
      <c r="F5" s="277"/>
      <c r="G5" s="277"/>
    </row>
    <row r="6" spans="1:7" x14ac:dyDescent="0.25">
      <c r="A6" s="199"/>
      <c r="B6" s="199"/>
      <c r="C6" s="199"/>
      <c r="D6" s="77"/>
      <c r="E6" s="79"/>
      <c r="F6" s="114" t="s">
        <v>357</v>
      </c>
      <c r="G6" s="114"/>
    </row>
    <row r="7" spans="1:7" x14ac:dyDescent="0.25">
      <c r="A7" s="199"/>
      <c r="B7" s="199"/>
      <c r="C7" s="199"/>
      <c r="D7" s="77"/>
      <c r="E7" s="79"/>
      <c r="F7" s="114" t="s">
        <v>358</v>
      </c>
      <c r="G7" s="114"/>
    </row>
    <row r="8" spans="1:7" ht="19.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9" t="s">
        <v>27</v>
      </c>
      <c r="F8" s="47" t="s">
        <v>28</v>
      </c>
      <c r="G8" s="47" t="s">
        <v>18</v>
      </c>
    </row>
    <row r="9" spans="1:7" ht="17.25" x14ac:dyDescent="0.3">
      <c r="A9" s="159" t="s">
        <v>355</v>
      </c>
      <c r="B9" s="159"/>
      <c r="C9" s="159"/>
      <c r="D9" s="159"/>
      <c r="E9" s="234"/>
      <c r="F9" s="235"/>
      <c r="G9" s="247"/>
    </row>
    <row r="10" spans="1:7" ht="16.5" x14ac:dyDescent="0.25">
      <c r="A10" s="193" t="s">
        <v>6</v>
      </c>
      <c r="B10" s="193">
        <v>240</v>
      </c>
      <c r="C10" s="193">
        <v>240</v>
      </c>
      <c r="D10" s="291">
        <f>VLOOKUP(RIGHT(LEFT(A13,11),4),'so nguoi'!$G$8:$H$18,2,0)</f>
        <v>5</v>
      </c>
      <c r="E10" s="195">
        <f>'Khu K'!F10/2</f>
        <v>54</v>
      </c>
      <c r="F10" s="201">
        <f>IF(A10="điện",E10*2500,E10*15000)</f>
        <v>135000</v>
      </c>
      <c r="G10" s="300">
        <f>SUM(F10:F12)</f>
        <v>427153.84615384613</v>
      </c>
    </row>
    <row r="11" spans="1:7" s="191" customFormat="1" ht="16.5" x14ac:dyDescent="0.25">
      <c r="A11" s="194" t="s">
        <v>7</v>
      </c>
      <c r="B11" s="194">
        <v>224</v>
      </c>
      <c r="C11" s="194">
        <v>224</v>
      </c>
      <c r="D11" s="299"/>
      <c r="E11" s="195">
        <f>'Khu K'!F11/2</f>
        <v>14.5</v>
      </c>
      <c r="F11" s="201">
        <f>IF(A11="điện",E11*2500,E11*18000)</f>
        <v>261000</v>
      </c>
      <c r="G11" s="301"/>
    </row>
    <row r="12" spans="1:7" ht="16.5" x14ac:dyDescent="0.25">
      <c r="A12" s="194" t="s">
        <v>317</v>
      </c>
      <c r="B12" s="194"/>
      <c r="C12" s="194"/>
      <c r="D12" s="292"/>
      <c r="E12" s="195">
        <f>'Khu K'!F12/2</f>
        <v>1.7307692307692306</v>
      </c>
      <c r="F12" s="201">
        <f>IF(A12="điện",E12*2500,E12*18000)</f>
        <v>31153.846153846152</v>
      </c>
      <c r="G12" s="302"/>
    </row>
    <row r="13" spans="1:7" ht="17.25" x14ac:dyDescent="0.3">
      <c r="A13" s="159" t="s">
        <v>350</v>
      </c>
      <c r="B13" s="159"/>
      <c r="C13" s="159"/>
      <c r="D13" s="159"/>
      <c r="E13" s="234"/>
      <c r="F13" s="235"/>
      <c r="G13" s="247"/>
    </row>
    <row r="14" spans="1:7" ht="16.5" x14ac:dyDescent="0.25">
      <c r="A14" s="193" t="s">
        <v>6</v>
      </c>
      <c r="B14" s="193">
        <v>240</v>
      </c>
      <c r="C14" s="193">
        <v>240</v>
      </c>
      <c r="D14" s="291">
        <f>VLOOKUP(RIGHT(LEFT(A13,11),4),'so nguoi'!$G$8:$H$18,2,0)</f>
        <v>5</v>
      </c>
      <c r="E14" s="195">
        <f>'Khu K'!F14/2</f>
        <v>66.5</v>
      </c>
      <c r="F14" s="201">
        <f>IF(A14="điện",E14*2500,E14*15000)</f>
        <v>166250</v>
      </c>
      <c r="G14" s="300">
        <f>SUM(F14:F16)</f>
        <v>282211.53846153844</v>
      </c>
    </row>
    <row r="15" spans="1:7" ht="16.5" x14ac:dyDescent="0.25">
      <c r="A15" s="194" t="s">
        <v>7</v>
      </c>
      <c r="B15" s="194">
        <v>224</v>
      </c>
      <c r="C15" s="194">
        <v>224</v>
      </c>
      <c r="D15" s="299"/>
      <c r="E15" s="195">
        <f>'Khu K'!F15/2</f>
        <v>5</v>
      </c>
      <c r="F15" s="201">
        <f>IF(A15="điện",E15*2500,E15*18000)</f>
        <v>90000</v>
      </c>
      <c r="G15" s="301"/>
    </row>
    <row r="16" spans="1:7" ht="16.5" x14ac:dyDescent="0.25">
      <c r="A16" s="194" t="s">
        <v>317</v>
      </c>
      <c r="B16" s="194"/>
      <c r="C16" s="194"/>
      <c r="D16" s="292"/>
      <c r="E16" s="195">
        <f>'Khu K'!F16/2</f>
        <v>1.4423076923076921</v>
      </c>
      <c r="F16" s="201">
        <f>IF(A16="điện",E16*2500,E16*18000)</f>
        <v>25961.538461538457</v>
      </c>
      <c r="G16" s="302"/>
    </row>
    <row r="17" spans="1:7" ht="17.25" x14ac:dyDescent="0.3">
      <c r="A17" s="159" t="s">
        <v>349</v>
      </c>
      <c r="B17" s="159"/>
      <c r="C17" s="159"/>
      <c r="D17" s="159"/>
      <c r="E17" s="234"/>
      <c r="F17" s="235"/>
      <c r="G17" s="247"/>
    </row>
    <row r="18" spans="1:7" ht="16.5" x14ac:dyDescent="0.25">
      <c r="A18" s="193" t="s">
        <v>6</v>
      </c>
      <c r="B18" s="193">
        <v>240</v>
      </c>
      <c r="C18" s="193">
        <v>240</v>
      </c>
      <c r="D18" s="291">
        <f>VLOOKUP(RIGHT(LEFT(A17,11),4),'so nguoi'!$G$8:$H$18,2,0)</f>
        <v>11</v>
      </c>
      <c r="E18" s="195">
        <f>'Khu K'!F18/2</f>
        <v>167.5</v>
      </c>
      <c r="F18" s="201">
        <f>IF(A18="điện",E18*2500,E18*15000)</f>
        <v>418750</v>
      </c>
      <c r="G18" s="300">
        <f>SUM(F18:F20)</f>
        <v>727865.38461538462</v>
      </c>
    </row>
    <row r="19" spans="1:7" ht="16.5" x14ac:dyDescent="0.25">
      <c r="A19" s="194" t="s">
        <v>7</v>
      </c>
      <c r="B19" s="194">
        <v>224</v>
      </c>
      <c r="C19" s="194">
        <v>224</v>
      </c>
      <c r="D19" s="299"/>
      <c r="E19" s="195">
        <f>'Khu K'!F19/2</f>
        <v>14</v>
      </c>
      <c r="F19" s="201">
        <f>IF(A19="điện",E19*2500,E19*18000)</f>
        <v>252000</v>
      </c>
      <c r="G19" s="301"/>
    </row>
    <row r="20" spans="1:7" ht="16.5" x14ac:dyDescent="0.25">
      <c r="A20" s="194" t="s">
        <v>317</v>
      </c>
      <c r="B20" s="194"/>
      <c r="C20" s="194"/>
      <c r="D20" s="292"/>
      <c r="E20" s="195">
        <f>'Khu K'!F20/2</f>
        <v>3.1730769230769229</v>
      </c>
      <c r="F20" s="201">
        <f>IF(A20="điện",E20*2500,E20*18000)</f>
        <v>57115.38461538461</v>
      </c>
      <c r="G20" s="302"/>
    </row>
    <row r="21" spans="1:7" ht="17.25" x14ac:dyDescent="0.3">
      <c r="A21" s="159" t="s">
        <v>351</v>
      </c>
      <c r="B21" s="159"/>
      <c r="C21" s="159"/>
      <c r="D21" s="159"/>
      <c r="E21" s="234"/>
      <c r="F21" s="235"/>
      <c r="G21" s="247"/>
    </row>
    <row r="22" spans="1:7" ht="16.5" x14ac:dyDescent="0.25">
      <c r="A22" s="193" t="s">
        <v>6</v>
      </c>
      <c r="B22" s="193">
        <v>240</v>
      </c>
      <c r="C22" s="193">
        <v>240</v>
      </c>
      <c r="D22" s="291">
        <f>VLOOKUP(RIGHT(LEFT(A21,11),4),'so nguoi'!$G$8:$H$18,2,0)</f>
        <v>0</v>
      </c>
      <c r="E22" s="195">
        <f>'Khu K'!F22/2</f>
        <v>0</v>
      </c>
      <c r="F22" s="201">
        <f>IF(A22="điện",E22*2500,E22*15000)</f>
        <v>0</v>
      </c>
      <c r="G22" s="300">
        <f>SUM(F22:F24)</f>
        <v>0</v>
      </c>
    </row>
    <row r="23" spans="1:7" ht="16.5" x14ac:dyDescent="0.25">
      <c r="A23" s="194" t="s">
        <v>7</v>
      </c>
      <c r="B23" s="194">
        <v>224</v>
      </c>
      <c r="C23" s="194">
        <v>224</v>
      </c>
      <c r="D23" s="299"/>
      <c r="E23" s="195">
        <f>'Khu K'!F23/2</f>
        <v>0</v>
      </c>
      <c r="F23" s="201">
        <f>IF(A23="điện",E23*2500,E23*15000)</f>
        <v>0</v>
      </c>
      <c r="G23" s="301"/>
    </row>
    <row r="24" spans="1:7" ht="16.5" x14ac:dyDescent="0.25">
      <c r="A24" s="194" t="s">
        <v>317</v>
      </c>
      <c r="B24" s="194"/>
      <c r="C24" s="194"/>
      <c r="D24" s="292"/>
      <c r="E24" s="195">
        <f>'Khu K'!F24/2</f>
        <v>0</v>
      </c>
      <c r="F24" s="201">
        <f>IF(A24="điện",E24*2500,E24*15000)</f>
        <v>0</v>
      </c>
      <c r="G24" s="302"/>
    </row>
    <row r="25" spans="1:7" ht="17.25" x14ac:dyDescent="0.3">
      <c r="A25" s="159" t="s">
        <v>40</v>
      </c>
      <c r="B25" s="159"/>
      <c r="C25" s="159"/>
      <c r="D25" s="159"/>
      <c r="E25" s="234"/>
      <c r="F25" s="235"/>
      <c r="G25" s="236"/>
    </row>
    <row r="26" spans="1:7" ht="16.5" x14ac:dyDescent="0.25">
      <c r="A26" s="193" t="s">
        <v>6</v>
      </c>
      <c r="B26" s="193">
        <v>148</v>
      </c>
      <c r="C26" s="193">
        <v>148</v>
      </c>
      <c r="D26" s="291">
        <f>VLOOKUP(RIGHT(LEFT(A25,11),4),'so nguoi'!$G$8:$H$18,2,0)</f>
        <v>0</v>
      </c>
      <c r="E26" s="195">
        <f>'Khu K'!F26/2</f>
        <v>0</v>
      </c>
      <c r="F26" s="201">
        <f>IF(A26="điện",E26*2500,E26*15000)</f>
        <v>0</v>
      </c>
      <c r="G26" s="300">
        <f>SUM(F26:F28)</f>
        <v>0</v>
      </c>
    </row>
    <row r="27" spans="1:7" ht="16.5" x14ac:dyDescent="0.25">
      <c r="A27" s="194" t="s">
        <v>7</v>
      </c>
      <c r="B27" s="194">
        <v>34</v>
      </c>
      <c r="C27" s="194">
        <v>34</v>
      </c>
      <c r="D27" s="299"/>
      <c r="E27" s="195">
        <f>'Khu K'!F27/2</f>
        <v>0</v>
      </c>
      <c r="F27" s="201">
        <f t="shared" ref="F27:F28" si="0">IF(A27="điện",E27*2500,E27*15000)</f>
        <v>0</v>
      </c>
      <c r="G27" s="301"/>
    </row>
    <row r="28" spans="1:7" ht="16.5" x14ac:dyDescent="0.25">
      <c r="A28" s="194" t="s">
        <v>317</v>
      </c>
      <c r="B28" s="249"/>
      <c r="C28" s="249"/>
      <c r="D28" s="292"/>
      <c r="E28" s="195">
        <f>'Khu K'!F28/2</f>
        <v>0</v>
      </c>
      <c r="F28" s="201">
        <f t="shared" si="0"/>
        <v>0</v>
      </c>
      <c r="G28" s="302"/>
    </row>
    <row r="29" spans="1:7" ht="17.25" x14ac:dyDescent="0.3">
      <c r="A29" s="159" t="s">
        <v>41</v>
      </c>
      <c r="B29" s="159"/>
      <c r="C29" s="159"/>
      <c r="D29" s="159"/>
      <c r="E29" s="234"/>
      <c r="F29" s="235"/>
      <c r="G29" s="236"/>
    </row>
    <row r="30" spans="1:7" ht="16.5" x14ac:dyDescent="0.25">
      <c r="A30" s="193" t="s">
        <v>6</v>
      </c>
      <c r="B30" s="193">
        <v>473</v>
      </c>
      <c r="C30" s="193">
        <v>565</v>
      </c>
      <c r="D30" s="291">
        <f>VLOOKUP(RIGHT(LEFT(A29,11),4),'so nguoi'!$G$8:$H$18,2,0)</f>
        <v>0</v>
      </c>
      <c r="E30" s="195">
        <f>'Khu K'!F30/2</f>
        <v>0</v>
      </c>
      <c r="F30" s="201">
        <f>IF(A30="điện",E30*2500,E30*15000)</f>
        <v>0</v>
      </c>
      <c r="G30" s="300">
        <f>SUM(F30:F32)</f>
        <v>0</v>
      </c>
    </row>
    <row r="31" spans="1:7" ht="16.5" x14ac:dyDescent="0.25">
      <c r="A31" s="194" t="s">
        <v>7</v>
      </c>
      <c r="B31" s="194">
        <v>226</v>
      </c>
      <c r="C31" s="194">
        <v>258</v>
      </c>
      <c r="D31" s="299"/>
      <c r="E31" s="195">
        <f>'Khu K'!F31/2</f>
        <v>0</v>
      </c>
      <c r="F31" s="201">
        <f t="shared" ref="F31:F32" si="1">IF(A31="điện",E31*2500,E31*15000)</f>
        <v>0</v>
      </c>
      <c r="G31" s="301"/>
    </row>
    <row r="32" spans="1:7" ht="16.5" x14ac:dyDescent="0.25">
      <c r="A32" s="194" t="s">
        <v>317</v>
      </c>
      <c r="B32" s="249"/>
      <c r="C32" s="249"/>
      <c r="D32" s="292"/>
      <c r="E32" s="195">
        <f>'Khu K'!F32/2</f>
        <v>0</v>
      </c>
      <c r="F32" s="201">
        <f t="shared" si="1"/>
        <v>0</v>
      </c>
      <c r="G32" s="302"/>
    </row>
    <row r="33" spans="1:11" ht="17.25" x14ac:dyDescent="0.3">
      <c r="A33" s="159" t="s">
        <v>322</v>
      </c>
      <c r="B33" s="159"/>
      <c r="C33" s="159"/>
      <c r="D33" s="159"/>
      <c r="E33" s="234"/>
      <c r="F33" s="235"/>
      <c r="G33" s="236"/>
      <c r="K33" s="25"/>
    </row>
    <row r="34" spans="1:11" ht="16.5" x14ac:dyDescent="0.25">
      <c r="A34" s="193" t="s">
        <v>6</v>
      </c>
      <c r="B34" s="193">
        <v>473</v>
      </c>
      <c r="C34" s="193">
        <v>565</v>
      </c>
      <c r="D34" s="291">
        <f>VLOOKUP(RIGHT(LEFT(A33,11),4),'so nguoi'!$G$8:$H$18,2,0)</f>
        <v>0</v>
      </c>
      <c r="E34" s="195">
        <f>'Khu K'!F34/2</f>
        <v>0</v>
      </c>
      <c r="F34" s="201">
        <f>IF(A34="điện",E34*2500,E34*15000)</f>
        <v>0</v>
      </c>
      <c r="G34" s="300">
        <f>SUM(F34:F36)</f>
        <v>0</v>
      </c>
      <c r="K34" s="25"/>
    </row>
    <row r="35" spans="1:11" ht="16.5" x14ac:dyDescent="0.25">
      <c r="A35" s="194" t="s">
        <v>7</v>
      </c>
      <c r="B35" s="194">
        <v>226</v>
      </c>
      <c r="C35" s="194">
        <v>258</v>
      </c>
      <c r="D35" s="299"/>
      <c r="E35" s="195">
        <f>'Khu K'!F35/2</f>
        <v>0</v>
      </c>
      <c r="F35" s="201">
        <f t="shared" ref="F35:F36" si="2">IF(A35="điện",E35*2500,E35*15000)</f>
        <v>0</v>
      </c>
      <c r="G35" s="301"/>
    </row>
    <row r="36" spans="1:11" ht="16.5" x14ac:dyDescent="0.25">
      <c r="A36" s="194" t="s">
        <v>317</v>
      </c>
      <c r="B36" s="249"/>
      <c r="C36" s="249"/>
      <c r="D36" s="292"/>
      <c r="E36" s="195">
        <f>'Khu K'!F36/2</f>
        <v>0</v>
      </c>
      <c r="F36" s="201">
        <f t="shared" si="2"/>
        <v>0</v>
      </c>
      <c r="G36" s="302"/>
    </row>
    <row r="37" spans="1:11" ht="17.25" x14ac:dyDescent="0.3">
      <c r="A37" s="159" t="s">
        <v>42</v>
      </c>
      <c r="B37" s="159"/>
      <c r="C37" s="159"/>
      <c r="D37" s="159"/>
      <c r="E37" s="234"/>
      <c r="F37" s="235"/>
      <c r="G37" s="236"/>
    </row>
    <row r="38" spans="1:11" ht="16.5" x14ac:dyDescent="0.25">
      <c r="A38" s="193" t="s">
        <v>6</v>
      </c>
      <c r="B38" s="193">
        <v>706</v>
      </c>
      <c r="C38" s="193">
        <v>881</v>
      </c>
      <c r="D38" s="291">
        <f>VLOOKUP(RIGHT(LEFT(A37,11),4),'so nguoi'!$G$8:$H$18,2,0)</f>
        <v>0</v>
      </c>
      <c r="E38" s="195">
        <f>'Khu K'!F38/2</f>
        <v>0</v>
      </c>
      <c r="F38" s="201">
        <f>IF(A38="điện",E38*2500,E38*15000)</f>
        <v>0</v>
      </c>
      <c r="G38" s="300">
        <f>SUM(F38:F40)</f>
        <v>0</v>
      </c>
    </row>
    <row r="39" spans="1:11" ht="16.5" x14ac:dyDescent="0.25">
      <c r="A39" s="194" t="s">
        <v>7</v>
      </c>
      <c r="B39" s="194">
        <v>270</v>
      </c>
      <c r="C39" s="194">
        <v>300</v>
      </c>
      <c r="D39" s="299"/>
      <c r="E39" s="195">
        <f>'Khu K'!F39/2</f>
        <v>0</v>
      </c>
      <c r="F39" s="201">
        <f t="shared" ref="F39:F40" si="3">IF(A39="điện",E39*2500,E39*15000)</f>
        <v>0</v>
      </c>
      <c r="G39" s="301"/>
    </row>
    <row r="40" spans="1:11" ht="16.5" x14ac:dyDescent="0.25">
      <c r="A40" s="194" t="s">
        <v>317</v>
      </c>
      <c r="B40" s="249"/>
      <c r="C40" s="249"/>
      <c r="D40" s="292"/>
      <c r="E40" s="195">
        <f>'Khu K'!F40/2</f>
        <v>0</v>
      </c>
      <c r="F40" s="201">
        <f t="shared" si="3"/>
        <v>0</v>
      </c>
      <c r="G40" s="302"/>
    </row>
    <row r="41" spans="1:11" ht="17.25" x14ac:dyDescent="0.3">
      <c r="A41" s="159" t="s">
        <v>352</v>
      </c>
      <c r="B41" s="159"/>
      <c r="C41" s="159"/>
      <c r="D41" s="159"/>
      <c r="E41" s="234"/>
      <c r="F41" s="235"/>
      <c r="G41" s="236"/>
    </row>
    <row r="42" spans="1:11" ht="16.5" x14ac:dyDescent="0.25">
      <c r="A42" s="193" t="s">
        <v>6</v>
      </c>
      <c r="B42" s="193">
        <v>706</v>
      </c>
      <c r="C42" s="193">
        <v>881</v>
      </c>
      <c r="D42" s="291">
        <f>VLOOKUP(RIGHT(LEFT(A41,11),4),'so nguoi'!$G$8:$H$18,2,0)</f>
        <v>0</v>
      </c>
      <c r="E42" s="195">
        <f>'Khu K'!F42/2</f>
        <v>0</v>
      </c>
      <c r="F42" s="201">
        <f>IF(A42="điện",E42*2500,E42*15000)</f>
        <v>0</v>
      </c>
      <c r="G42" s="300">
        <f>SUM(F42:F44)</f>
        <v>0</v>
      </c>
    </row>
    <row r="43" spans="1:11" ht="16.5" x14ac:dyDescent="0.25">
      <c r="A43" s="194" t="s">
        <v>7</v>
      </c>
      <c r="B43" s="194">
        <v>270</v>
      </c>
      <c r="C43" s="194">
        <v>300</v>
      </c>
      <c r="D43" s="299"/>
      <c r="E43" s="195">
        <f>'Khu K'!F43/2</f>
        <v>0</v>
      </c>
      <c r="F43" s="201">
        <f t="shared" ref="F43:F44" si="4">IF(A43="điện",E43*2500,E43*15000)</f>
        <v>0</v>
      </c>
      <c r="G43" s="301"/>
    </row>
    <row r="44" spans="1:11" ht="16.5" x14ac:dyDescent="0.25">
      <c r="A44" s="194" t="s">
        <v>317</v>
      </c>
      <c r="B44" s="249"/>
      <c r="C44" s="249"/>
      <c r="D44" s="292"/>
      <c r="E44" s="195">
        <f>'Khu K'!F44/2</f>
        <v>0</v>
      </c>
      <c r="F44" s="201">
        <f t="shared" si="4"/>
        <v>0</v>
      </c>
      <c r="G44" s="302"/>
    </row>
    <row r="45" spans="1:11" ht="17.25" x14ac:dyDescent="0.3">
      <c r="A45" s="159" t="s">
        <v>353</v>
      </c>
      <c r="B45" s="159"/>
      <c r="C45" s="159"/>
      <c r="D45" s="159"/>
      <c r="E45" s="234"/>
      <c r="F45" s="235"/>
      <c r="G45" s="236"/>
    </row>
    <row r="46" spans="1:11" ht="16.5" x14ac:dyDescent="0.25">
      <c r="A46" s="193" t="s">
        <v>6</v>
      </c>
      <c r="B46" s="193">
        <v>706</v>
      </c>
      <c r="C46" s="193">
        <v>881</v>
      </c>
      <c r="D46" s="291">
        <f>VLOOKUP(RIGHT(LEFT(A45,11),4),'so nguoi'!$G$8:$H$18,2,0)</f>
        <v>0</v>
      </c>
      <c r="E46" s="195">
        <f>'Khu K'!F46/2</f>
        <v>0</v>
      </c>
      <c r="F46" s="201">
        <f>IF(A46="điện",E46*2500,E46*15000)</f>
        <v>0</v>
      </c>
      <c r="G46" s="300">
        <f>SUM(F46:F48)</f>
        <v>0</v>
      </c>
    </row>
    <row r="47" spans="1:11" ht="16.5" x14ac:dyDescent="0.25">
      <c r="A47" s="194" t="s">
        <v>7</v>
      </c>
      <c r="B47" s="194">
        <v>270</v>
      </c>
      <c r="C47" s="194">
        <v>300</v>
      </c>
      <c r="D47" s="299"/>
      <c r="E47" s="195">
        <f>'Khu K'!F47/2</f>
        <v>0</v>
      </c>
      <c r="F47" s="201">
        <f t="shared" ref="F47:F48" si="5">IF(A47="điện",E47*2500,E47*15000)</f>
        <v>0</v>
      </c>
      <c r="G47" s="301"/>
    </row>
    <row r="48" spans="1:11" ht="16.5" x14ac:dyDescent="0.25">
      <c r="A48" s="194" t="s">
        <v>317</v>
      </c>
      <c r="B48" s="249"/>
      <c r="C48" s="249"/>
      <c r="D48" s="292"/>
      <c r="E48" s="195">
        <f>'Khu K'!F48/2</f>
        <v>0</v>
      </c>
      <c r="F48" s="201">
        <f t="shared" si="5"/>
        <v>0</v>
      </c>
      <c r="G48" s="302"/>
    </row>
    <row r="49" spans="1:7" ht="17.25" x14ac:dyDescent="0.25">
      <c r="A49" s="237" t="s">
        <v>43</v>
      </c>
      <c r="B49" s="237"/>
      <c r="C49" s="237"/>
      <c r="D49" s="237"/>
      <c r="E49" s="238"/>
      <c r="F49" s="239"/>
      <c r="G49" s="240"/>
    </row>
    <row r="50" spans="1:7" ht="16.5" x14ac:dyDescent="0.25">
      <c r="A50" s="194" t="s">
        <v>6</v>
      </c>
      <c r="B50" s="194">
        <v>518</v>
      </c>
      <c r="C50" s="194">
        <v>597</v>
      </c>
      <c r="D50" s="291">
        <f>VLOOKUP(RIGHT(LEFT(A49,11),4),'so nguoi'!$G$8:$H$18,2,0)</f>
        <v>0</v>
      </c>
      <c r="E50" s="195">
        <f>'Khu K'!F50/2</f>
        <v>0</v>
      </c>
      <c r="F50" s="201">
        <f>IF(A50="điện",E50*2500,E50*15000)</f>
        <v>0</v>
      </c>
      <c r="G50" s="300">
        <f>SUM(F50:F52)</f>
        <v>0</v>
      </c>
    </row>
    <row r="51" spans="1:7" ht="16.5" x14ac:dyDescent="0.25">
      <c r="A51" s="194" t="s">
        <v>7</v>
      </c>
      <c r="B51" s="194">
        <f>B39</f>
        <v>270</v>
      </c>
      <c r="C51" s="194">
        <f>C39</f>
        <v>300</v>
      </c>
      <c r="D51" s="299"/>
      <c r="E51" s="195">
        <f>'Khu K'!F51/2</f>
        <v>0</v>
      </c>
      <c r="F51" s="201">
        <f t="shared" ref="F51:F52" si="6">IF(A51="điện",E51*2500,E51*15000)</f>
        <v>0</v>
      </c>
      <c r="G51" s="301"/>
    </row>
    <row r="52" spans="1:7" ht="16.5" x14ac:dyDescent="0.25">
      <c r="A52" s="194" t="s">
        <v>317</v>
      </c>
      <c r="B52" s="249"/>
      <c r="C52" s="249"/>
      <c r="D52" s="292"/>
      <c r="E52" s="195">
        <f>'Khu K'!F52/2</f>
        <v>0</v>
      </c>
      <c r="F52" s="201">
        <f t="shared" si="6"/>
        <v>0</v>
      </c>
      <c r="G52" s="302"/>
    </row>
    <row r="53" spans="1:7" ht="17.25" x14ac:dyDescent="0.3">
      <c r="A53" s="159" t="s">
        <v>327</v>
      </c>
      <c r="B53" s="159"/>
      <c r="C53" s="159"/>
      <c r="D53" s="159"/>
      <c r="E53" s="234"/>
      <c r="F53" s="235"/>
      <c r="G53" s="247"/>
    </row>
    <row r="54" spans="1:7" ht="16.5" x14ac:dyDescent="0.25">
      <c r="A54" s="193" t="s">
        <v>6</v>
      </c>
      <c r="B54" s="193">
        <v>240</v>
      </c>
      <c r="C54" s="193">
        <v>240</v>
      </c>
      <c r="D54" s="291">
        <f>VLOOKUP(RIGHT(LEFT(A53,11),4),'so nguoi'!$I$8:$J$18,2,0)</f>
        <v>0</v>
      </c>
      <c r="E54" s="195">
        <f>'Khu K'!F54/2</f>
        <v>0</v>
      </c>
      <c r="F54" s="201">
        <f>IF(A54="điện",E54*2500,E54*15000)</f>
        <v>0</v>
      </c>
      <c r="G54" s="300">
        <f>SUM(F54:F56)</f>
        <v>0</v>
      </c>
    </row>
    <row r="55" spans="1:7" ht="16.5" x14ac:dyDescent="0.25">
      <c r="A55" s="194" t="s">
        <v>7</v>
      </c>
      <c r="B55" s="194">
        <v>224</v>
      </c>
      <c r="C55" s="194">
        <v>224</v>
      </c>
      <c r="D55" s="299"/>
      <c r="E55" s="195">
        <f>'Khu K'!F55/2</f>
        <v>0</v>
      </c>
      <c r="F55" s="201">
        <f>IF(A55="điện",E55*2500,E55*15000)</f>
        <v>0</v>
      </c>
      <c r="G55" s="301"/>
    </row>
    <row r="56" spans="1:7" ht="16.5" x14ac:dyDescent="0.25">
      <c r="A56" s="194" t="s">
        <v>317</v>
      </c>
      <c r="B56" s="194"/>
      <c r="C56" s="194"/>
      <c r="D56" s="292"/>
      <c r="E56" s="195">
        <f>'Khu K'!F56/2</f>
        <v>0</v>
      </c>
      <c r="F56" s="201">
        <f>IF(A56="điện",E56*2500,E56*15000)</f>
        <v>0</v>
      </c>
      <c r="G56" s="302"/>
    </row>
    <row r="57" spans="1:7" ht="17.25" x14ac:dyDescent="0.3">
      <c r="A57" s="159" t="s">
        <v>328</v>
      </c>
      <c r="B57" s="159"/>
      <c r="C57" s="159"/>
      <c r="D57" s="159"/>
      <c r="E57" s="234"/>
      <c r="F57" s="235"/>
      <c r="G57" s="247"/>
    </row>
    <row r="58" spans="1:7" ht="16.5" x14ac:dyDescent="0.25">
      <c r="A58" s="193" t="s">
        <v>6</v>
      </c>
      <c r="B58" s="193">
        <v>240</v>
      </c>
      <c r="C58" s="193">
        <v>240</v>
      </c>
      <c r="D58" s="291">
        <f>VLOOKUP(RIGHT(LEFT(A57,11),4),'so nguoi'!$I$8:$J$18,2,0)</f>
        <v>0</v>
      </c>
      <c r="E58" s="195">
        <f>'Khu K'!F58/2</f>
        <v>0</v>
      </c>
      <c r="F58" s="201">
        <f>IF(A58="điện",E58*2500,E58*15000)</f>
        <v>0</v>
      </c>
      <c r="G58" s="300">
        <f>SUM(F58:F60)</f>
        <v>0</v>
      </c>
    </row>
    <row r="59" spans="1:7" ht="16.5" x14ac:dyDescent="0.25">
      <c r="A59" s="194" t="s">
        <v>7</v>
      </c>
      <c r="B59" s="194">
        <v>224</v>
      </c>
      <c r="C59" s="194">
        <v>224</v>
      </c>
      <c r="D59" s="299"/>
      <c r="E59" s="195">
        <f>'Khu K'!F59/2</f>
        <v>0</v>
      </c>
      <c r="F59" s="201">
        <f>IF(A59="điện",E59*2500,E59*15000)</f>
        <v>0</v>
      </c>
      <c r="G59" s="301"/>
    </row>
    <row r="60" spans="1:7" ht="16.5" x14ac:dyDescent="0.25">
      <c r="A60" s="194" t="s">
        <v>317</v>
      </c>
      <c r="B60" s="194"/>
      <c r="C60" s="194"/>
      <c r="D60" s="292"/>
      <c r="E60" s="195">
        <f>'Khu K'!F60/2</f>
        <v>0</v>
      </c>
      <c r="F60" s="201">
        <f>IF(A60="điện",E60*2500,E60*15000)</f>
        <v>0</v>
      </c>
      <c r="G60" s="302"/>
    </row>
    <row r="61" spans="1:7" ht="17.25" x14ac:dyDescent="0.3">
      <c r="A61" s="159" t="s">
        <v>329</v>
      </c>
      <c r="B61" s="159"/>
      <c r="C61" s="159"/>
      <c r="D61" s="159"/>
      <c r="E61" s="234"/>
      <c r="F61" s="235"/>
      <c r="G61" s="247"/>
    </row>
    <row r="62" spans="1:7" ht="16.5" x14ac:dyDescent="0.25">
      <c r="A62" s="193" t="s">
        <v>6</v>
      </c>
      <c r="B62" s="193">
        <v>240</v>
      </c>
      <c r="C62" s="193">
        <v>240</v>
      </c>
      <c r="D62" s="291">
        <f>VLOOKUP(RIGHT(LEFT(A61,11),4),'so nguoi'!$I$8:$J$18,2,0)</f>
        <v>0</v>
      </c>
      <c r="E62" s="195">
        <f>'Khu K'!F62/2</f>
        <v>0</v>
      </c>
      <c r="F62" s="201">
        <f>IF(A62="điện",E62*2500,E62*15000)</f>
        <v>0</v>
      </c>
      <c r="G62" s="300">
        <f>SUM(F62:F64)</f>
        <v>0</v>
      </c>
    </row>
    <row r="63" spans="1:7" ht="16.5" x14ac:dyDescent="0.25">
      <c r="A63" s="194" t="s">
        <v>7</v>
      </c>
      <c r="B63" s="194">
        <v>224</v>
      </c>
      <c r="C63" s="194">
        <v>224</v>
      </c>
      <c r="D63" s="299"/>
      <c r="E63" s="195">
        <f>'Khu K'!F63/2</f>
        <v>0</v>
      </c>
      <c r="F63" s="201">
        <f>IF(A63="điện",E63*2500,E63*15000)</f>
        <v>0</v>
      </c>
      <c r="G63" s="301"/>
    </row>
    <row r="64" spans="1:7" ht="16.5" x14ac:dyDescent="0.25">
      <c r="A64" s="194" t="s">
        <v>317</v>
      </c>
      <c r="B64" s="194"/>
      <c r="C64" s="194"/>
      <c r="D64" s="292"/>
      <c r="E64" s="195">
        <f>'Khu K'!F64/2</f>
        <v>0</v>
      </c>
      <c r="F64" s="201">
        <f>IF(A64="điện",E64*2500,E64*15000)</f>
        <v>0</v>
      </c>
      <c r="G64" s="302"/>
    </row>
    <row r="65" spans="1:7" ht="17.25" x14ac:dyDescent="0.3">
      <c r="A65" s="159" t="s">
        <v>330</v>
      </c>
      <c r="B65" s="159"/>
      <c r="C65" s="159"/>
      <c r="D65" s="159"/>
      <c r="E65" s="234"/>
      <c r="F65" s="235"/>
      <c r="G65" s="247"/>
    </row>
    <row r="66" spans="1:7" ht="16.5" x14ac:dyDescent="0.25">
      <c r="A66" s="193" t="s">
        <v>6</v>
      </c>
      <c r="B66" s="193">
        <v>240</v>
      </c>
      <c r="C66" s="193">
        <v>240</v>
      </c>
      <c r="D66" s="291">
        <f>VLOOKUP(RIGHT(LEFT(A65,11),4),'so nguoi'!$I$8:$J$18,2,0)</f>
        <v>0</v>
      </c>
      <c r="E66" s="195">
        <f>'Khu K'!F66/2</f>
        <v>0</v>
      </c>
      <c r="F66" s="201">
        <f>IF(A66="điện",E66*2500,E66*15000)</f>
        <v>0</v>
      </c>
      <c r="G66" s="300">
        <f>SUM(F66:F68)</f>
        <v>0</v>
      </c>
    </row>
    <row r="67" spans="1:7" ht="16.5" x14ac:dyDescent="0.25">
      <c r="A67" s="194" t="s">
        <v>7</v>
      </c>
      <c r="B67" s="194">
        <v>224</v>
      </c>
      <c r="C67" s="194">
        <v>224</v>
      </c>
      <c r="D67" s="299"/>
      <c r="E67" s="195">
        <f>'Khu K'!F67/2</f>
        <v>0</v>
      </c>
      <c r="F67" s="201">
        <f>IF(A67="điện",E67*2500,E67*15000)</f>
        <v>0</v>
      </c>
      <c r="G67" s="301"/>
    </row>
    <row r="68" spans="1:7" ht="16.5" x14ac:dyDescent="0.25">
      <c r="A68" s="194" t="s">
        <v>317</v>
      </c>
      <c r="B68" s="194"/>
      <c r="C68" s="194"/>
      <c r="D68" s="292"/>
      <c r="E68" s="195">
        <f>'Khu K'!F68/2</f>
        <v>0</v>
      </c>
      <c r="F68" s="201">
        <f>IF(A68="điện",E68*2500,E68*15000)</f>
        <v>0</v>
      </c>
      <c r="G68" s="302"/>
    </row>
    <row r="69" spans="1:7" ht="17.25" x14ac:dyDescent="0.3">
      <c r="A69" s="159" t="s">
        <v>331</v>
      </c>
      <c r="B69" s="159"/>
      <c r="C69" s="159"/>
      <c r="D69" s="159"/>
      <c r="E69" s="234"/>
      <c r="F69" s="235"/>
      <c r="G69" s="247"/>
    </row>
    <row r="70" spans="1:7" ht="16.5" x14ac:dyDescent="0.25">
      <c r="A70" s="193" t="s">
        <v>6</v>
      </c>
      <c r="B70" s="193">
        <v>240</v>
      </c>
      <c r="C70" s="193">
        <v>240</v>
      </c>
      <c r="D70" s="291">
        <f>VLOOKUP(RIGHT(LEFT(A69,11),4),'so nguoi'!$I$8:$J$18,2,0)</f>
        <v>0</v>
      </c>
      <c r="E70" s="195">
        <f>'Khu K'!F70/2</f>
        <v>0</v>
      </c>
      <c r="F70" s="201">
        <f>IF(A70="điện",E70*2500,E70*15000)</f>
        <v>0</v>
      </c>
      <c r="G70" s="300">
        <f>SUM(F70:F72)</f>
        <v>0</v>
      </c>
    </row>
    <row r="71" spans="1:7" ht="16.5" x14ac:dyDescent="0.25">
      <c r="A71" s="194" t="s">
        <v>7</v>
      </c>
      <c r="B71" s="194">
        <v>224</v>
      </c>
      <c r="C71" s="194">
        <v>224</v>
      </c>
      <c r="D71" s="299"/>
      <c r="E71" s="195">
        <f>'Khu K'!F71/2</f>
        <v>0</v>
      </c>
      <c r="F71" s="201">
        <f>IF(A71="điện",E71*2500,E71*15000)</f>
        <v>0</v>
      </c>
      <c r="G71" s="301"/>
    </row>
    <row r="72" spans="1:7" ht="16.5" x14ac:dyDescent="0.25">
      <c r="A72" s="194" t="s">
        <v>317</v>
      </c>
      <c r="B72" s="194"/>
      <c r="C72" s="194"/>
      <c r="D72" s="292"/>
      <c r="E72" s="195">
        <f>'Khu K'!F72/2</f>
        <v>0</v>
      </c>
      <c r="F72" s="201">
        <f>IF(A72="điện",E72*2500,E72*15000)</f>
        <v>0</v>
      </c>
      <c r="G72" s="302"/>
    </row>
    <row r="73" spans="1:7" ht="17.25" x14ac:dyDescent="0.3">
      <c r="A73" s="159" t="s">
        <v>332</v>
      </c>
      <c r="B73" s="159"/>
      <c r="C73" s="159"/>
      <c r="D73" s="159"/>
      <c r="E73" s="234"/>
      <c r="F73" s="235"/>
      <c r="G73" s="247"/>
    </row>
    <row r="74" spans="1:7" ht="16.5" x14ac:dyDescent="0.25">
      <c r="A74" s="193" t="s">
        <v>6</v>
      </c>
      <c r="B74" s="193">
        <v>240</v>
      </c>
      <c r="C74" s="193">
        <v>240</v>
      </c>
      <c r="D74" s="291">
        <f>VLOOKUP(RIGHT(LEFT(A73,11),4),'so nguoi'!$I$8:$J$18,2,0)</f>
        <v>0</v>
      </c>
      <c r="E74" s="195">
        <f>'Khu K'!F74/2</f>
        <v>0</v>
      </c>
      <c r="F74" s="201">
        <f>IF(A74="điện",E74*2500,E74*15000)</f>
        <v>0</v>
      </c>
      <c r="G74" s="300">
        <f>SUM(F74:F76)</f>
        <v>0</v>
      </c>
    </row>
    <row r="75" spans="1:7" ht="16.5" x14ac:dyDescent="0.25">
      <c r="A75" s="194" t="s">
        <v>7</v>
      </c>
      <c r="B75" s="194">
        <v>224</v>
      </c>
      <c r="C75" s="194">
        <v>224</v>
      </c>
      <c r="D75" s="299"/>
      <c r="E75" s="195">
        <f>'Khu K'!F75/2</f>
        <v>0</v>
      </c>
      <c r="F75" s="201">
        <f>IF(A75="điện",E75*2500,E75*15000)</f>
        <v>0</v>
      </c>
      <c r="G75" s="301"/>
    </row>
    <row r="76" spans="1:7" ht="16.5" x14ac:dyDescent="0.25">
      <c r="A76" s="194" t="s">
        <v>317</v>
      </c>
      <c r="B76" s="194"/>
      <c r="C76" s="194"/>
      <c r="D76" s="292"/>
      <c r="E76" s="195">
        <f>'Khu K'!F76/2</f>
        <v>0</v>
      </c>
      <c r="F76" s="201">
        <f>IF(A76="điện",E76*2500,E76*15000)</f>
        <v>0</v>
      </c>
      <c r="G76" s="302"/>
    </row>
    <row r="77" spans="1:7" ht="17.25" x14ac:dyDescent="0.3">
      <c r="A77" s="159" t="s">
        <v>333</v>
      </c>
      <c r="B77" s="159"/>
      <c r="C77" s="159"/>
      <c r="D77" s="159"/>
      <c r="E77" s="234"/>
      <c r="F77" s="235"/>
      <c r="G77" s="247"/>
    </row>
    <row r="78" spans="1:7" ht="16.5" x14ac:dyDescent="0.25">
      <c r="A78" s="193" t="s">
        <v>6</v>
      </c>
      <c r="B78" s="193">
        <v>240</v>
      </c>
      <c r="C78" s="193">
        <v>240</v>
      </c>
      <c r="D78" s="291">
        <f>VLOOKUP(RIGHT(LEFT(A77,11),4),'so nguoi'!$I$8:$J$18,2,0)</f>
        <v>0</v>
      </c>
      <c r="E78" s="195">
        <f>'Khu K'!F78/2</f>
        <v>0</v>
      </c>
      <c r="F78" s="201">
        <f>IF(A78="điện",E78*2500,E78*15000)</f>
        <v>0</v>
      </c>
      <c r="G78" s="300">
        <f>SUM(F78:F80)</f>
        <v>0</v>
      </c>
    </row>
    <row r="79" spans="1:7" ht="16.5" x14ac:dyDescent="0.25">
      <c r="A79" s="194" t="s">
        <v>7</v>
      </c>
      <c r="B79" s="194">
        <v>224</v>
      </c>
      <c r="C79" s="194">
        <v>224</v>
      </c>
      <c r="D79" s="299"/>
      <c r="E79" s="195">
        <f>'Khu K'!F79/2</f>
        <v>0</v>
      </c>
      <c r="F79" s="201">
        <f>IF(A79="điện",E79*2500,E79*15000)</f>
        <v>0</v>
      </c>
      <c r="G79" s="301"/>
    </row>
    <row r="80" spans="1:7" ht="16.5" x14ac:dyDescent="0.25">
      <c r="A80" s="194" t="s">
        <v>317</v>
      </c>
      <c r="B80" s="194"/>
      <c r="C80" s="194"/>
      <c r="D80" s="292"/>
      <c r="E80" s="195">
        <f>'Khu K'!F80/2</f>
        <v>0</v>
      </c>
      <c r="F80" s="201">
        <f>IF(A80="điện",E80*2500,E80*15000)</f>
        <v>0</v>
      </c>
      <c r="G80" s="302"/>
    </row>
    <row r="81" spans="1:7" ht="17.25" x14ac:dyDescent="0.3">
      <c r="A81" s="159" t="s">
        <v>334</v>
      </c>
      <c r="B81" s="159"/>
      <c r="C81" s="159"/>
      <c r="D81" s="159"/>
      <c r="E81" s="234"/>
      <c r="F81" s="235"/>
      <c r="G81" s="247"/>
    </row>
    <row r="82" spans="1:7" ht="16.5" x14ac:dyDescent="0.25">
      <c r="A82" s="193" t="s">
        <v>6</v>
      </c>
      <c r="B82" s="193">
        <v>240</v>
      </c>
      <c r="C82" s="193">
        <v>240</v>
      </c>
      <c r="D82" s="291">
        <f>VLOOKUP(RIGHT(LEFT(A81,11),4),'so nguoi'!$I$8:$J$18,2,0)</f>
        <v>0</v>
      </c>
      <c r="E82" s="195">
        <f>'Khu K'!F82/2</f>
        <v>0</v>
      </c>
      <c r="F82" s="201">
        <f>IF(A82="điện",E82*2500,E82*15000)</f>
        <v>0</v>
      </c>
      <c r="G82" s="300">
        <f>SUM(F82:F84)</f>
        <v>0</v>
      </c>
    </row>
    <row r="83" spans="1:7" ht="16.5" x14ac:dyDescent="0.25">
      <c r="A83" s="194" t="s">
        <v>7</v>
      </c>
      <c r="B83" s="194">
        <v>224</v>
      </c>
      <c r="C83" s="194">
        <v>224</v>
      </c>
      <c r="D83" s="299"/>
      <c r="E83" s="195">
        <f>'Khu K'!F83/2</f>
        <v>0</v>
      </c>
      <c r="F83" s="201">
        <f>IF(A83="điện",E83*2500,E83*15000)</f>
        <v>0</v>
      </c>
      <c r="G83" s="301"/>
    </row>
    <row r="84" spans="1:7" ht="16.5" x14ac:dyDescent="0.25">
      <c r="A84" s="194" t="s">
        <v>317</v>
      </c>
      <c r="B84" s="194"/>
      <c r="C84" s="194"/>
      <c r="D84" s="292"/>
      <c r="E84" s="195">
        <f>'Khu K'!F84/2</f>
        <v>0</v>
      </c>
      <c r="F84" s="201">
        <f>IF(A84="điện",E84*2500,E84*15000)</f>
        <v>0</v>
      </c>
      <c r="G84" s="302"/>
    </row>
    <row r="85" spans="1:7" ht="17.25" x14ac:dyDescent="0.3">
      <c r="A85" s="159" t="s">
        <v>354</v>
      </c>
      <c r="B85" s="159"/>
      <c r="C85" s="159"/>
      <c r="D85" s="159"/>
      <c r="E85" s="234"/>
      <c r="F85" s="235"/>
      <c r="G85" s="247"/>
    </row>
    <row r="86" spans="1:7" ht="16.5" x14ac:dyDescent="0.25">
      <c r="A86" s="193" t="s">
        <v>6</v>
      </c>
      <c r="B86" s="193">
        <v>240</v>
      </c>
      <c r="C86" s="193">
        <v>240</v>
      </c>
      <c r="D86" s="291">
        <f>VLOOKUP(RIGHT(LEFT(A85,11),4),'so nguoi'!$I$8:$J$18,2,0)</f>
        <v>0</v>
      </c>
      <c r="E86" s="195">
        <f>'Khu K'!F86/2</f>
        <v>0</v>
      </c>
      <c r="F86" s="201">
        <f>IF(A86="điện",E86*2500,E86*15000)</f>
        <v>0</v>
      </c>
      <c r="G86" s="300">
        <f>SUM(F86:F88)</f>
        <v>0</v>
      </c>
    </row>
    <row r="87" spans="1:7" ht="16.5" x14ac:dyDescent="0.25">
      <c r="A87" s="194" t="s">
        <v>7</v>
      </c>
      <c r="B87" s="194">
        <v>224</v>
      </c>
      <c r="C87" s="194">
        <v>224</v>
      </c>
      <c r="D87" s="299"/>
      <c r="E87" s="195">
        <f>'Khu K'!F87/2</f>
        <v>0</v>
      </c>
      <c r="F87" s="201">
        <f>IF(A87="điện",E87*2500,E87*15000)</f>
        <v>0</v>
      </c>
      <c r="G87" s="301"/>
    </row>
    <row r="88" spans="1:7" ht="16.5" x14ac:dyDescent="0.25">
      <c r="A88" s="194" t="s">
        <v>317</v>
      </c>
      <c r="B88" s="194"/>
      <c r="C88" s="194"/>
      <c r="D88" s="292"/>
      <c r="E88" s="195">
        <f>'Khu K'!F88/2</f>
        <v>0</v>
      </c>
      <c r="F88" s="201">
        <f>IF(A88="điện",E88*2500,E88*15000)</f>
        <v>0</v>
      </c>
      <c r="G88" s="302"/>
    </row>
    <row r="89" spans="1:7" ht="17.25" x14ac:dyDescent="0.3">
      <c r="A89" s="159" t="s">
        <v>336</v>
      </c>
      <c r="B89" s="159"/>
      <c r="C89" s="159"/>
      <c r="D89" s="159"/>
      <c r="E89" s="234"/>
      <c r="F89" s="235"/>
      <c r="G89" s="247"/>
    </row>
    <row r="90" spans="1:7" ht="16.5" x14ac:dyDescent="0.25">
      <c r="A90" s="193" t="s">
        <v>6</v>
      </c>
      <c r="B90" s="193">
        <v>240</v>
      </c>
      <c r="C90" s="193">
        <v>240</v>
      </c>
      <c r="D90" s="291">
        <f>VLOOKUP(RIGHT(LEFT(A89,11),4),'so nguoi'!$I$8:$J$18,2,0)</f>
        <v>0</v>
      </c>
      <c r="E90" s="195">
        <f>'Khu K'!F90/2</f>
        <v>0</v>
      </c>
      <c r="F90" s="201">
        <f>IF(A90="điện",E90*2500,E90*15000)</f>
        <v>0</v>
      </c>
      <c r="G90" s="300">
        <f>SUM(F90:F92)</f>
        <v>0</v>
      </c>
    </row>
    <row r="91" spans="1:7" ht="16.5" x14ac:dyDescent="0.25">
      <c r="A91" s="194" t="s">
        <v>7</v>
      </c>
      <c r="B91" s="194">
        <v>224</v>
      </c>
      <c r="C91" s="194">
        <v>224</v>
      </c>
      <c r="D91" s="299"/>
      <c r="E91" s="195">
        <f>'Khu K'!F91/2</f>
        <v>0</v>
      </c>
      <c r="F91" s="201">
        <f>IF(A91="điện",E91*2500,E91*15000)</f>
        <v>0</v>
      </c>
      <c r="G91" s="301"/>
    </row>
    <row r="92" spans="1:7" ht="16.5" x14ac:dyDescent="0.25">
      <c r="A92" s="194" t="s">
        <v>317</v>
      </c>
      <c r="B92" s="194"/>
      <c r="C92" s="194"/>
      <c r="D92" s="292"/>
      <c r="E92" s="195">
        <f>'Khu K'!F92/2</f>
        <v>0</v>
      </c>
      <c r="F92" s="201">
        <f>IF(A92="điện",E92*2500,E92*15000)</f>
        <v>0</v>
      </c>
      <c r="G92" s="302"/>
    </row>
    <row r="93" spans="1:7" ht="17.25" x14ac:dyDescent="0.3">
      <c r="A93" s="159" t="s">
        <v>337</v>
      </c>
      <c r="B93" s="159"/>
      <c r="C93" s="159"/>
      <c r="D93" s="159"/>
      <c r="E93" s="234"/>
      <c r="F93" s="235"/>
      <c r="G93" s="247"/>
    </row>
    <row r="94" spans="1:7" ht="16.5" x14ac:dyDescent="0.25">
      <c r="A94" s="193" t="s">
        <v>6</v>
      </c>
      <c r="B94" s="193">
        <v>240</v>
      </c>
      <c r="C94" s="193">
        <v>240</v>
      </c>
      <c r="D94" s="291">
        <f>VLOOKUP(RIGHT(LEFT(A93,11),4),'so nguoi'!$I$8:$J$18,2,0)</f>
        <v>0</v>
      </c>
      <c r="E94" s="195">
        <f>'Khu K'!F94/2</f>
        <v>0</v>
      </c>
      <c r="F94" s="201">
        <f>IF(A94="điện",E94*2500,E94*15000)</f>
        <v>0</v>
      </c>
      <c r="G94" s="300">
        <f>SUM(F94:F96)</f>
        <v>0</v>
      </c>
    </row>
    <row r="95" spans="1:7" ht="16.5" x14ac:dyDescent="0.25">
      <c r="A95" s="194" t="s">
        <v>7</v>
      </c>
      <c r="B95" s="194">
        <v>224</v>
      </c>
      <c r="C95" s="194">
        <v>224</v>
      </c>
      <c r="D95" s="299"/>
      <c r="E95" s="195">
        <f>'Khu K'!F95/2</f>
        <v>0</v>
      </c>
      <c r="F95" s="201">
        <f>IF(A95="điện",E95*2500,E95*15000)</f>
        <v>0</v>
      </c>
      <c r="G95" s="301"/>
    </row>
    <row r="96" spans="1:7" ht="16.5" x14ac:dyDescent="0.25">
      <c r="A96" s="194" t="s">
        <v>317</v>
      </c>
      <c r="B96" s="194"/>
      <c r="C96" s="194"/>
      <c r="D96" s="292"/>
      <c r="E96" s="195">
        <f>'Khu K'!F96/2</f>
        <v>0</v>
      </c>
      <c r="F96" s="201">
        <f>IF(A96="điện",E96*2500,E96*15000)</f>
        <v>0</v>
      </c>
      <c r="G96" s="302"/>
    </row>
    <row r="97" spans="1:7" ht="17.25" x14ac:dyDescent="0.3">
      <c r="A97" s="159" t="s">
        <v>338</v>
      </c>
      <c r="B97" s="159"/>
      <c r="C97" s="159"/>
      <c r="D97" s="159"/>
      <c r="E97" s="234"/>
      <c r="F97" s="235"/>
      <c r="G97" s="247"/>
    </row>
    <row r="98" spans="1:7" ht="16.5" x14ac:dyDescent="0.25">
      <c r="A98" s="193" t="s">
        <v>6</v>
      </c>
      <c r="B98" s="193">
        <v>240</v>
      </c>
      <c r="C98" s="193">
        <v>240</v>
      </c>
      <c r="D98" s="291">
        <f>VLOOKUP(RIGHT(LEFT(A97,11),4),'so nguoi'!$K$8:$L$18,2,0)</f>
        <v>0</v>
      </c>
      <c r="E98" s="195">
        <f>'Khu K'!F98/2</f>
        <v>0</v>
      </c>
      <c r="F98" s="201">
        <f>IF(A98="điện",E98*2500,E98*15000)</f>
        <v>0</v>
      </c>
      <c r="G98" s="300">
        <f>SUM(F98:F100)</f>
        <v>0</v>
      </c>
    </row>
    <row r="99" spans="1:7" ht="16.5" x14ac:dyDescent="0.25">
      <c r="A99" s="194" t="s">
        <v>7</v>
      </c>
      <c r="B99" s="194">
        <v>224</v>
      </c>
      <c r="C99" s="194">
        <v>224</v>
      </c>
      <c r="D99" s="299"/>
      <c r="E99" s="195">
        <f>'Khu K'!F99/2</f>
        <v>0</v>
      </c>
      <c r="F99" s="201">
        <f>IF(A99="điện",E99*2500,E99*15000)</f>
        <v>0</v>
      </c>
      <c r="G99" s="301"/>
    </row>
    <row r="100" spans="1:7" ht="16.5" x14ac:dyDescent="0.25">
      <c r="A100" s="194" t="s">
        <v>317</v>
      </c>
      <c r="B100" s="194"/>
      <c r="C100" s="194"/>
      <c r="D100" s="292"/>
      <c r="E100" s="195">
        <f>'Khu K'!F100/2</f>
        <v>0</v>
      </c>
      <c r="F100" s="201">
        <f>IF(A100="điện",E100*2500,E100*15000)</f>
        <v>0</v>
      </c>
      <c r="G100" s="302"/>
    </row>
    <row r="101" spans="1:7" ht="17.25" x14ac:dyDescent="0.3">
      <c r="A101" s="159" t="s">
        <v>339</v>
      </c>
      <c r="B101" s="159"/>
      <c r="C101" s="159"/>
      <c r="D101" s="159"/>
      <c r="E101" s="234"/>
      <c r="F101" s="235"/>
      <c r="G101" s="247"/>
    </row>
    <row r="102" spans="1:7" ht="16.5" x14ac:dyDescent="0.25">
      <c r="A102" s="193" t="s">
        <v>6</v>
      </c>
      <c r="B102" s="193">
        <v>240</v>
      </c>
      <c r="C102" s="193">
        <v>240</v>
      </c>
      <c r="D102" s="291">
        <f>VLOOKUP(RIGHT(LEFT(A101,11),4),'so nguoi'!$K$8:$L$18,2,0)</f>
        <v>0</v>
      </c>
      <c r="E102" s="195">
        <f>'Khu K'!F102/2</f>
        <v>0</v>
      </c>
      <c r="F102" s="201">
        <f>IF(A102="điện",E102*2500,E102*15000)</f>
        <v>0</v>
      </c>
      <c r="G102" s="300">
        <f>SUM(F102:F104)</f>
        <v>0</v>
      </c>
    </row>
    <row r="103" spans="1:7" ht="16.5" x14ac:dyDescent="0.25">
      <c r="A103" s="194" t="s">
        <v>7</v>
      </c>
      <c r="B103" s="194">
        <v>224</v>
      </c>
      <c r="C103" s="194">
        <v>224</v>
      </c>
      <c r="D103" s="299"/>
      <c r="E103" s="195">
        <f>'Khu K'!F103/2</f>
        <v>0</v>
      </c>
      <c r="F103" s="201">
        <f>IF(A103="điện",E103*2500,E103*15000)</f>
        <v>0</v>
      </c>
      <c r="G103" s="301"/>
    </row>
    <row r="104" spans="1:7" ht="16.5" x14ac:dyDescent="0.25">
      <c r="A104" s="194" t="s">
        <v>317</v>
      </c>
      <c r="B104" s="194"/>
      <c r="C104" s="194"/>
      <c r="D104" s="292"/>
      <c r="E104" s="195">
        <f>'Khu K'!F104/2</f>
        <v>0</v>
      </c>
      <c r="F104" s="201">
        <f>IF(A104="điện",E104*2500,E104*15000)</f>
        <v>0</v>
      </c>
      <c r="G104" s="302"/>
    </row>
    <row r="105" spans="1:7" ht="17.25" x14ac:dyDescent="0.3">
      <c r="A105" s="159" t="s">
        <v>340</v>
      </c>
      <c r="B105" s="159"/>
      <c r="C105" s="159"/>
      <c r="D105" s="159"/>
      <c r="E105" s="234"/>
      <c r="F105" s="235"/>
      <c r="G105" s="247"/>
    </row>
    <row r="106" spans="1:7" ht="16.5" x14ac:dyDescent="0.25">
      <c r="A106" s="193" t="s">
        <v>6</v>
      </c>
      <c r="B106" s="193">
        <v>240</v>
      </c>
      <c r="C106" s="193">
        <v>240</v>
      </c>
      <c r="D106" s="291">
        <f>VLOOKUP(RIGHT(LEFT(A105,11),4),'so nguoi'!$K$8:$L$18,2,0)</f>
        <v>0</v>
      </c>
      <c r="E106" s="195">
        <f>'Khu K'!F106/2</f>
        <v>0</v>
      </c>
      <c r="F106" s="201">
        <f>IF(A106="điện",E106*2500,E106*15000)</f>
        <v>0</v>
      </c>
      <c r="G106" s="300">
        <f>SUM(F106:F108)</f>
        <v>0</v>
      </c>
    </row>
    <row r="107" spans="1:7" ht="16.5" x14ac:dyDescent="0.25">
      <c r="A107" s="194" t="s">
        <v>7</v>
      </c>
      <c r="B107" s="194">
        <v>224</v>
      </c>
      <c r="C107" s="194">
        <v>224</v>
      </c>
      <c r="D107" s="299"/>
      <c r="E107" s="195">
        <f>'Khu K'!F107/2</f>
        <v>0</v>
      </c>
      <c r="F107" s="201">
        <f>IF(A107="điện",E107*2500,E107*15000)</f>
        <v>0</v>
      </c>
      <c r="G107" s="301"/>
    </row>
    <row r="108" spans="1:7" ht="16.5" x14ac:dyDescent="0.25">
      <c r="A108" s="194" t="s">
        <v>317</v>
      </c>
      <c r="B108" s="194"/>
      <c r="C108" s="194"/>
      <c r="D108" s="292"/>
      <c r="E108" s="195">
        <f>'Khu K'!F108/2</f>
        <v>0</v>
      </c>
      <c r="F108" s="201">
        <f>IF(A108="điện",E108*2500,E108*15000)</f>
        <v>0</v>
      </c>
      <c r="G108" s="302"/>
    </row>
    <row r="109" spans="1:7" ht="17.25" x14ac:dyDescent="0.3">
      <c r="A109" s="159" t="s">
        <v>341</v>
      </c>
      <c r="B109" s="159"/>
      <c r="C109" s="159"/>
      <c r="D109" s="159"/>
      <c r="E109" s="234"/>
      <c r="F109" s="235"/>
      <c r="G109" s="247"/>
    </row>
    <row r="110" spans="1:7" ht="16.5" x14ac:dyDescent="0.25">
      <c r="A110" s="193" t="s">
        <v>6</v>
      </c>
      <c r="B110" s="193">
        <v>240</v>
      </c>
      <c r="C110" s="193">
        <v>240</v>
      </c>
      <c r="D110" s="291">
        <f>VLOOKUP(RIGHT(LEFT(A109,11),4),'so nguoi'!$K$8:$L$18,2,0)</f>
        <v>0</v>
      </c>
      <c r="E110" s="195">
        <f>'Khu K'!F110/2</f>
        <v>0</v>
      </c>
      <c r="F110" s="201">
        <f>IF(A110="điện",E110*2500,E110*15000)</f>
        <v>0</v>
      </c>
      <c r="G110" s="300">
        <f>SUM(F110:F112)</f>
        <v>0</v>
      </c>
    </row>
    <row r="111" spans="1:7" ht="16.5" x14ac:dyDescent="0.25">
      <c r="A111" s="194" t="s">
        <v>7</v>
      </c>
      <c r="B111" s="194">
        <v>224</v>
      </c>
      <c r="C111" s="194">
        <v>224</v>
      </c>
      <c r="D111" s="299"/>
      <c r="E111" s="195">
        <f>'Khu K'!F111/2</f>
        <v>0</v>
      </c>
      <c r="F111" s="201">
        <f>IF(A111="điện",E111*2500,E111*15000)</f>
        <v>0</v>
      </c>
      <c r="G111" s="301"/>
    </row>
    <row r="112" spans="1:7" ht="16.5" x14ac:dyDescent="0.25">
      <c r="A112" s="194" t="s">
        <v>317</v>
      </c>
      <c r="B112" s="194"/>
      <c r="C112" s="194"/>
      <c r="D112" s="292"/>
      <c r="E112" s="195">
        <f>'Khu K'!F112/2</f>
        <v>0</v>
      </c>
      <c r="F112" s="201">
        <f>IF(A112="điện",E112*2500,E112*15000)</f>
        <v>0</v>
      </c>
      <c r="G112" s="302"/>
    </row>
    <row r="113" spans="1:7" ht="17.25" x14ac:dyDescent="0.3">
      <c r="A113" s="159" t="s">
        <v>342</v>
      </c>
      <c r="B113" s="159"/>
      <c r="C113" s="159"/>
      <c r="D113" s="159"/>
      <c r="E113" s="234"/>
      <c r="F113" s="235"/>
      <c r="G113" s="247"/>
    </row>
    <row r="114" spans="1:7" ht="16.5" x14ac:dyDescent="0.25">
      <c r="A114" s="193" t="s">
        <v>6</v>
      </c>
      <c r="B114" s="193">
        <v>240</v>
      </c>
      <c r="C114" s="193">
        <v>240</v>
      </c>
      <c r="D114" s="291">
        <f>VLOOKUP(RIGHT(LEFT(A113,11),4),'so nguoi'!$K$8:$L$18,2,0)</f>
        <v>0</v>
      </c>
      <c r="E114" s="195">
        <f>'Khu K'!F114/2</f>
        <v>0</v>
      </c>
      <c r="F114" s="201">
        <f>IF(A114="điện",E114*2500,E114*15000)</f>
        <v>0</v>
      </c>
      <c r="G114" s="300">
        <f>SUM(F114:F116)</f>
        <v>0</v>
      </c>
    </row>
    <row r="115" spans="1:7" ht="16.5" x14ac:dyDescent="0.25">
      <c r="A115" s="194" t="s">
        <v>7</v>
      </c>
      <c r="B115" s="194">
        <v>224</v>
      </c>
      <c r="C115" s="194">
        <v>224</v>
      </c>
      <c r="D115" s="299"/>
      <c r="E115" s="195">
        <f>'Khu K'!F115/2</f>
        <v>0</v>
      </c>
      <c r="F115" s="201">
        <f>IF(A115="điện",E115*2500,E115*15000)</f>
        <v>0</v>
      </c>
      <c r="G115" s="301"/>
    </row>
    <row r="116" spans="1:7" ht="16.5" x14ac:dyDescent="0.25">
      <c r="A116" s="194" t="s">
        <v>317</v>
      </c>
      <c r="B116" s="194"/>
      <c r="C116" s="194"/>
      <c r="D116" s="292"/>
      <c r="E116" s="195">
        <f>'Khu K'!F116/2</f>
        <v>0</v>
      </c>
      <c r="F116" s="201">
        <f>IF(A116="điện",E116*2500,E116*15000)</f>
        <v>0</v>
      </c>
      <c r="G116" s="302"/>
    </row>
    <row r="117" spans="1:7" ht="17.25" x14ac:dyDescent="0.3">
      <c r="A117" s="159" t="s">
        <v>343</v>
      </c>
      <c r="B117" s="159"/>
      <c r="C117" s="159"/>
      <c r="D117" s="159"/>
      <c r="E117" s="234"/>
      <c r="F117" s="235"/>
      <c r="G117" s="247"/>
    </row>
    <row r="118" spans="1:7" ht="16.5" x14ac:dyDescent="0.25">
      <c r="A118" s="193" t="s">
        <v>6</v>
      </c>
      <c r="B118" s="193">
        <v>240</v>
      </c>
      <c r="C118" s="193">
        <v>240</v>
      </c>
      <c r="D118" s="291">
        <f>VLOOKUP(RIGHT(LEFT(A117,11),4),'so nguoi'!$K$8:$L$18,2,0)</f>
        <v>0</v>
      </c>
      <c r="E118" s="195">
        <f>'Khu K'!F118/2</f>
        <v>0</v>
      </c>
      <c r="F118" s="201">
        <f>IF(A118="điện",E118*2500,E118*15000)</f>
        <v>0</v>
      </c>
      <c r="G118" s="300">
        <f>SUM(F118:F120)</f>
        <v>0</v>
      </c>
    </row>
    <row r="119" spans="1:7" ht="16.5" x14ac:dyDescent="0.25">
      <c r="A119" s="194" t="s">
        <v>7</v>
      </c>
      <c r="B119" s="194">
        <v>224</v>
      </c>
      <c r="C119" s="194">
        <v>224</v>
      </c>
      <c r="D119" s="299"/>
      <c r="E119" s="195">
        <f>'Khu K'!F119/2</f>
        <v>0</v>
      </c>
      <c r="F119" s="201">
        <f>IF(A119="điện",E119*2500,E119*15000)</f>
        <v>0</v>
      </c>
      <c r="G119" s="301"/>
    </row>
    <row r="120" spans="1:7" ht="16.5" x14ac:dyDescent="0.25">
      <c r="A120" s="194" t="s">
        <v>317</v>
      </c>
      <c r="B120" s="194"/>
      <c r="C120" s="194"/>
      <c r="D120" s="292"/>
      <c r="E120" s="195">
        <f>'Khu K'!F120/2</f>
        <v>0</v>
      </c>
      <c r="F120" s="201">
        <f>IF(A120="điện",E120*2500,E120*15000)</f>
        <v>0</v>
      </c>
      <c r="G120" s="302"/>
    </row>
    <row r="121" spans="1:7" ht="17.25" x14ac:dyDescent="0.3">
      <c r="A121" s="159" t="s">
        <v>344</v>
      </c>
      <c r="B121" s="159"/>
      <c r="C121" s="159"/>
      <c r="D121" s="159"/>
      <c r="E121" s="234"/>
      <c r="F121" s="235"/>
      <c r="G121" s="247"/>
    </row>
    <row r="122" spans="1:7" ht="16.5" x14ac:dyDescent="0.25">
      <c r="A122" s="193" t="s">
        <v>6</v>
      </c>
      <c r="B122" s="193">
        <v>240</v>
      </c>
      <c r="C122" s="193">
        <v>240</v>
      </c>
      <c r="D122" s="291">
        <f>VLOOKUP(RIGHT(LEFT(A121,11),4),'so nguoi'!$K$8:$L$18,2,0)</f>
        <v>0</v>
      </c>
      <c r="E122" s="195">
        <f>'Khu K'!F122/2</f>
        <v>0</v>
      </c>
      <c r="F122" s="201">
        <f>IF(A122="điện",E122*2500,E122*15000)</f>
        <v>0</v>
      </c>
      <c r="G122" s="300">
        <f>SUM(F122:F124)</f>
        <v>0</v>
      </c>
    </row>
    <row r="123" spans="1:7" ht="16.5" x14ac:dyDescent="0.25">
      <c r="A123" s="194" t="s">
        <v>7</v>
      </c>
      <c r="B123" s="194">
        <v>224</v>
      </c>
      <c r="C123" s="194">
        <v>224</v>
      </c>
      <c r="D123" s="299"/>
      <c r="E123" s="195">
        <f>'Khu K'!F123/2</f>
        <v>0</v>
      </c>
      <c r="F123" s="201">
        <f>IF(A123="điện",E123*2500,E123*15000)</f>
        <v>0</v>
      </c>
      <c r="G123" s="301"/>
    </row>
    <row r="124" spans="1:7" ht="16.5" x14ac:dyDescent="0.25">
      <c r="A124" s="194" t="s">
        <v>317</v>
      </c>
      <c r="B124" s="194"/>
      <c r="C124" s="194"/>
      <c r="D124" s="292"/>
      <c r="E124" s="195">
        <f>'Khu K'!F124/2</f>
        <v>0</v>
      </c>
      <c r="F124" s="201">
        <f>IF(A124="điện",E124*2500,E124*15000)</f>
        <v>0</v>
      </c>
      <c r="G124" s="302"/>
    </row>
    <row r="125" spans="1:7" ht="17.25" x14ac:dyDescent="0.3">
      <c r="A125" s="159" t="s">
        <v>345</v>
      </c>
      <c r="B125" s="159"/>
      <c r="C125" s="159"/>
      <c r="D125" s="159"/>
      <c r="E125" s="234"/>
      <c r="F125" s="235"/>
      <c r="G125" s="247"/>
    </row>
    <row r="126" spans="1:7" ht="16.5" x14ac:dyDescent="0.25">
      <c r="A126" s="193" t="s">
        <v>6</v>
      </c>
      <c r="B126" s="193">
        <v>240</v>
      </c>
      <c r="C126" s="193">
        <v>240</v>
      </c>
      <c r="D126" s="291">
        <f>VLOOKUP(RIGHT(LEFT(A125,11),4),'so nguoi'!$K$8:$L$18,2,0)</f>
        <v>0</v>
      </c>
      <c r="E126" s="195">
        <f>'Khu K'!F126/2</f>
        <v>0</v>
      </c>
      <c r="F126" s="201">
        <f>IF(A126="điện",E126*2500,E126*15000)</f>
        <v>0</v>
      </c>
      <c r="G126" s="300">
        <f>SUM(F126:F128)</f>
        <v>0</v>
      </c>
    </row>
    <row r="127" spans="1:7" ht="16.5" x14ac:dyDescent="0.25">
      <c r="A127" s="194" t="s">
        <v>7</v>
      </c>
      <c r="B127" s="194">
        <v>224</v>
      </c>
      <c r="C127" s="194">
        <v>224</v>
      </c>
      <c r="D127" s="299"/>
      <c r="E127" s="195">
        <f>'Khu K'!F127/2</f>
        <v>0</v>
      </c>
      <c r="F127" s="201">
        <f>IF(A127="điện",E127*2500,E127*15000)</f>
        <v>0</v>
      </c>
      <c r="G127" s="301"/>
    </row>
    <row r="128" spans="1:7" ht="16.5" x14ac:dyDescent="0.25">
      <c r="A128" s="194" t="s">
        <v>317</v>
      </c>
      <c r="B128" s="194"/>
      <c r="C128" s="194"/>
      <c r="D128" s="292"/>
      <c r="E128" s="195">
        <f>'Khu K'!F128/2</f>
        <v>0</v>
      </c>
      <c r="F128" s="201">
        <f>IF(A128="điện",E128*2500,E128*15000)</f>
        <v>0</v>
      </c>
      <c r="G128" s="302"/>
    </row>
    <row r="129" spans="1:7" ht="17.25" x14ac:dyDescent="0.3">
      <c r="A129" s="159" t="s">
        <v>346</v>
      </c>
      <c r="B129" s="159"/>
      <c r="C129" s="159"/>
      <c r="D129" s="159"/>
      <c r="E129" s="234"/>
      <c r="F129" s="235"/>
      <c r="G129" s="247"/>
    </row>
    <row r="130" spans="1:7" ht="16.5" x14ac:dyDescent="0.25">
      <c r="A130" s="193" t="s">
        <v>6</v>
      </c>
      <c r="B130" s="193">
        <v>240</v>
      </c>
      <c r="C130" s="193">
        <v>240</v>
      </c>
      <c r="D130" s="291">
        <f>VLOOKUP(RIGHT(LEFT(A129,11),4),'so nguoi'!$K$8:$L$18,2,0)</f>
        <v>0</v>
      </c>
      <c r="E130" s="195">
        <f>'Khu K'!F130/2</f>
        <v>0</v>
      </c>
      <c r="F130" s="201">
        <f>IF(A130="điện",E130*2500,E130*15000)</f>
        <v>0</v>
      </c>
      <c r="G130" s="300">
        <f>SUM(F130:F132)</f>
        <v>0</v>
      </c>
    </row>
    <row r="131" spans="1:7" ht="16.5" x14ac:dyDescent="0.25">
      <c r="A131" s="194" t="s">
        <v>7</v>
      </c>
      <c r="B131" s="194">
        <v>224</v>
      </c>
      <c r="C131" s="194">
        <v>224</v>
      </c>
      <c r="D131" s="299"/>
      <c r="E131" s="195">
        <f>'Khu K'!F131/2</f>
        <v>0</v>
      </c>
      <c r="F131" s="201">
        <f>IF(A131="điện",E131*2500,E131*15000)</f>
        <v>0</v>
      </c>
      <c r="G131" s="301"/>
    </row>
    <row r="132" spans="1:7" ht="16.5" x14ac:dyDescent="0.25">
      <c r="A132" s="194" t="s">
        <v>317</v>
      </c>
      <c r="B132" s="194"/>
      <c r="C132" s="194"/>
      <c r="D132" s="292"/>
      <c r="E132" s="195">
        <f>'Khu K'!F132/2</f>
        <v>0</v>
      </c>
      <c r="F132" s="201">
        <f>IF(A132="điện",E132*2500,E132*15000)</f>
        <v>0</v>
      </c>
      <c r="G132" s="302"/>
    </row>
    <row r="133" spans="1:7" ht="17.25" x14ac:dyDescent="0.3">
      <c r="A133" s="159" t="s">
        <v>347</v>
      </c>
      <c r="B133" s="159"/>
      <c r="C133" s="159"/>
      <c r="D133" s="159"/>
      <c r="E133" s="234"/>
      <c r="F133" s="235"/>
      <c r="G133" s="247"/>
    </row>
    <row r="134" spans="1:7" ht="16.5" x14ac:dyDescent="0.25">
      <c r="A134" s="193" t="s">
        <v>6</v>
      </c>
      <c r="B134" s="193">
        <v>240</v>
      </c>
      <c r="C134" s="193">
        <v>240</v>
      </c>
      <c r="D134" s="291">
        <f>VLOOKUP(RIGHT(LEFT(A133,11),4),'so nguoi'!$K$8:$L$18,2,0)</f>
        <v>0</v>
      </c>
      <c r="E134" s="195">
        <f>'Khu K'!F134/2</f>
        <v>0</v>
      </c>
      <c r="F134" s="201">
        <f>IF(A134="điện",E134*2500,E134*15000)</f>
        <v>0</v>
      </c>
      <c r="G134" s="300">
        <f>SUM(F134:F136)</f>
        <v>0</v>
      </c>
    </row>
    <row r="135" spans="1:7" ht="16.5" x14ac:dyDescent="0.25">
      <c r="A135" s="194" t="s">
        <v>7</v>
      </c>
      <c r="B135" s="194">
        <v>224</v>
      </c>
      <c r="C135" s="194">
        <v>224</v>
      </c>
      <c r="D135" s="299"/>
      <c r="E135" s="195">
        <f>'Khu K'!F135/2</f>
        <v>0</v>
      </c>
      <c r="F135" s="201">
        <f>IF(A135="điện",E135*2500,E135*15000)</f>
        <v>0</v>
      </c>
      <c r="G135" s="301"/>
    </row>
    <row r="136" spans="1:7" ht="16.5" x14ac:dyDescent="0.25">
      <c r="A136" s="194" t="s">
        <v>317</v>
      </c>
      <c r="B136" s="194"/>
      <c r="C136" s="194"/>
      <c r="D136" s="292"/>
      <c r="E136" s="195">
        <f>'Khu K'!F136/2</f>
        <v>0</v>
      </c>
      <c r="F136" s="201">
        <f>IF(A136="điện",E136*2500,E136*15000)</f>
        <v>0</v>
      </c>
      <c r="G136" s="302"/>
    </row>
    <row r="137" spans="1:7" ht="17.25" x14ac:dyDescent="0.3">
      <c r="A137" s="159" t="s">
        <v>348</v>
      </c>
      <c r="B137" s="159"/>
      <c r="C137" s="159"/>
      <c r="D137" s="159"/>
      <c r="E137" s="234"/>
      <c r="F137" s="235"/>
      <c r="G137" s="247"/>
    </row>
    <row r="138" spans="1:7" ht="16.5" x14ac:dyDescent="0.25">
      <c r="A138" s="193" t="s">
        <v>6</v>
      </c>
      <c r="B138" s="193">
        <v>240</v>
      </c>
      <c r="C138" s="193">
        <v>240</v>
      </c>
      <c r="D138" s="291">
        <f>VLOOKUP(RIGHT(LEFT(A137,11),4),'so nguoi'!$K$8:$L$18,2,0)</f>
        <v>0</v>
      </c>
      <c r="E138" s="195">
        <f>'Khu K'!F138/2</f>
        <v>0</v>
      </c>
      <c r="F138" s="201">
        <f>IF(A138="điện",E138*2500,E138*15000)</f>
        <v>0</v>
      </c>
      <c r="G138" s="300">
        <f>SUM(F138:F140)</f>
        <v>0</v>
      </c>
    </row>
    <row r="139" spans="1:7" ht="16.5" x14ac:dyDescent="0.25">
      <c r="A139" s="194" t="s">
        <v>7</v>
      </c>
      <c r="B139" s="194">
        <v>224</v>
      </c>
      <c r="C139" s="194">
        <v>224</v>
      </c>
      <c r="D139" s="299"/>
      <c r="E139" s="195">
        <f>'Khu K'!F139/2</f>
        <v>0</v>
      </c>
      <c r="F139" s="201">
        <f>IF(A139="điện",E139*2500,E139*15000)</f>
        <v>0</v>
      </c>
      <c r="G139" s="301"/>
    </row>
    <row r="140" spans="1:7" ht="16.5" x14ac:dyDescent="0.25">
      <c r="A140" s="194" t="s">
        <v>317</v>
      </c>
      <c r="B140" s="194"/>
      <c r="C140" s="194"/>
      <c r="D140" s="292"/>
      <c r="E140" s="195">
        <f>'Khu K'!F140/2</f>
        <v>0</v>
      </c>
      <c r="F140" s="201">
        <f>IF(A140="điện",E140*2500,E140*15000)</f>
        <v>0</v>
      </c>
      <c r="G140" s="302"/>
    </row>
    <row r="141" spans="1:7" x14ac:dyDescent="0.25">
      <c r="A141" s="185" t="s">
        <v>13</v>
      </c>
      <c r="B141" s="186"/>
      <c r="C141" s="186"/>
      <c r="D141" s="186"/>
      <c r="E141" s="186"/>
      <c r="F141" s="73">
        <f ca="1">SUMIF($A$8:$F$140,"Điện",F8:F140)</f>
        <v>720000</v>
      </c>
      <c r="G141" s="73">
        <f ca="1">SUMIF($A$8:$F$140,"Điện",E8:E140)</f>
        <v>288</v>
      </c>
    </row>
    <row r="142" spans="1:7" x14ac:dyDescent="0.25">
      <c r="A142" s="185" t="s">
        <v>14</v>
      </c>
      <c r="B142" s="186"/>
      <c r="C142" s="186"/>
      <c r="D142" s="186"/>
      <c r="E142" s="186"/>
      <c r="F142" s="73">
        <f ca="1">SUMIF($A$8:$F$140,"Nước",F8:F140)+SUMIF($A$8:$F$140,"Nước nhà VS",F8:F140)</f>
        <v>717230.76923076925</v>
      </c>
      <c r="G142" s="73">
        <f ca="1">SUMIF($A$8:$F$140,"Nước",E8:E140)+SUMIF($A$8:$F$140,"Nước nhà VS",E8:E140)</f>
        <v>39.846153846153847</v>
      </c>
    </row>
    <row r="143" spans="1:7" x14ac:dyDescent="0.25">
      <c r="A143" s="185" t="s">
        <v>15</v>
      </c>
      <c r="B143" s="186"/>
      <c r="C143" s="186"/>
      <c r="D143" s="186"/>
      <c r="E143" s="186"/>
      <c r="F143" s="73">
        <f ca="1">SUM(F141:F142)</f>
        <v>1437230.7692307692</v>
      </c>
      <c r="G143" s="73"/>
    </row>
  </sheetData>
  <mergeCells count="69">
    <mergeCell ref="D138:D140"/>
    <mergeCell ref="G138:G140"/>
    <mergeCell ref="D10:D12"/>
    <mergeCell ref="G10:G12"/>
    <mergeCell ref="D126:D128"/>
    <mergeCell ref="G126:G128"/>
    <mergeCell ref="D130:D132"/>
    <mergeCell ref="G130:G132"/>
    <mergeCell ref="D134:D136"/>
    <mergeCell ref="G134:G136"/>
    <mergeCell ref="D114:D116"/>
    <mergeCell ref="G114:G116"/>
    <mergeCell ref="D118:D120"/>
    <mergeCell ref="G118:G120"/>
    <mergeCell ref="D122:D124"/>
    <mergeCell ref="G122:G124"/>
    <mergeCell ref="D102:D104"/>
    <mergeCell ref="G102:G104"/>
    <mergeCell ref="D106:D108"/>
    <mergeCell ref="G106:G108"/>
    <mergeCell ref="D110:D112"/>
    <mergeCell ref="G110:G112"/>
    <mergeCell ref="D90:D92"/>
    <mergeCell ref="G90:G92"/>
    <mergeCell ref="D94:D96"/>
    <mergeCell ref="G94:G96"/>
    <mergeCell ref="D98:D100"/>
    <mergeCell ref="G98:G100"/>
    <mergeCell ref="D78:D80"/>
    <mergeCell ref="G78:G80"/>
    <mergeCell ref="D82:D84"/>
    <mergeCell ref="G82:G84"/>
    <mergeCell ref="D86:D88"/>
    <mergeCell ref="G86:G88"/>
    <mergeCell ref="D66:D68"/>
    <mergeCell ref="G66:G68"/>
    <mergeCell ref="D70:D72"/>
    <mergeCell ref="G70:G72"/>
    <mergeCell ref="D74:D76"/>
    <mergeCell ref="G74:G76"/>
    <mergeCell ref="D18:D20"/>
    <mergeCell ref="G18:G20"/>
    <mergeCell ref="D22:D24"/>
    <mergeCell ref="G22:G24"/>
    <mergeCell ref="D34:D36"/>
    <mergeCell ref="G34:G36"/>
    <mergeCell ref="D26:D28"/>
    <mergeCell ref="G26:G28"/>
    <mergeCell ref="D30:D32"/>
    <mergeCell ref="G30:G32"/>
    <mergeCell ref="D38:D40"/>
    <mergeCell ref="G38:G40"/>
    <mergeCell ref="D50:D52"/>
    <mergeCell ref="G50:G52"/>
    <mergeCell ref="D42:D44"/>
    <mergeCell ref="G42:G44"/>
    <mergeCell ref="D46:D48"/>
    <mergeCell ref="G46:G48"/>
    <mergeCell ref="D54:D56"/>
    <mergeCell ref="G54:G56"/>
    <mergeCell ref="D58:D60"/>
    <mergeCell ref="G58:G60"/>
    <mergeCell ref="D62:D64"/>
    <mergeCell ref="G62:G64"/>
    <mergeCell ref="A1:G1"/>
    <mergeCell ref="A2:G2"/>
    <mergeCell ref="A5:G5"/>
    <mergeCell ref="D14:D16"/>
    <mergeCell ref="G14:G16"/>
  </mergeCells>
  <pageMargins left="0.7" right="0.2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view="pageBreakPreview" zoomScaleNormal="100" zoomScaleSheetLayoutView="100" workbookViewId="0">
      <selection activeCell="G12" sqref="G12"/>
    </sheetView>
  </sheetViews>
  <sheetFormatPr defaultRowHeight="15" x14ac:dyDescent="0.25"/>
  <cols>
    <col min="1" max="1" width="15.140625" customWidth="1"/>
    <col min="2" max="2" width="8.28515625" customWidth="1"/>
    <col min="3" max="3" width="8.7109375" customWidth="1"/>
    <col min="4" max="4" width="7.140625" style="4" customWidth="1"/>
    <col min="5" max="5" width="7.5703125" style="3" customWidth="1"/>
    <col min="6" max="6" width="12" style="21" customWidth="1"/>
    <col min="7" max="7" width="22.7109375" style="3" customWidth="1"/>
    <col min="8" max="8" width="18.5703125" customWidth="1"/>
    <col min="9" max="9" width="14.28515625" style="50" bestFit="1" customWidth="1"/>
    <col min="10" max="10" width="14.28515625" bestFit="1" customWidth="1"/>
    <col min="11" max="11" width="8.28515625" bestFit="1" customWidth="1"/>
    <col min="12" max="12" width="9.85546875" bestFit="1" customWidth="1"/>
    <col min="13" max="13" width="10.5703125" bestFit="1" customWidth="1"/>
    <col min="14" max="14" width="13.28515625" bestFit="1" customWidth="1"/>
    <col min="15" max="15" width="16.85546875" bestFit="1" customWidth="1"/>
  </cols>
  <sheetData>
    <row r="1" spans="1:15" ht="15.75" x14ac:dyDescent="0.25">
      <c r="A1" s="122" t="s">
        <v>192</v>
      </c>
      <c r="B1" s="122"/>
      <c r="C1" s="122"/>
      <c r="D1" s="122"/>
      <c r="E1" s="122"/>
      <c r="F1" s="122"/>
      <c r="G1" s="122"/>
      <c r="H1" s="122"/>
      <c r="K1" t="s">
        <v>150</v>
      </c>
      <c r="L1" s="30" t="s">
        <v>364</v>
      </c>
    </row>
    <row r="2" spans="1:15" ht="15.75" x14ac:dyDescent="0.25">
      <c r="A2" s="298" t="s">
        <v>193</v>
      </c>
      <c r="B2" s="298"/>
      <c r="C2" s="298"/>
      <c r="D2" s="298"/>
      <c r="E2" s="298"/>
      <c r="F2" s="298"/>
      <c r="G2" s="298"/>
      <c r="H2" s="298"/>
      <c r="K2" t="s">
        <v>9</v>
      </c>
      <c r="L2">
        <v>2900</v>
      </c>
    </row>
    <row r="3" spans="1:15" x14ac:dyDescent="0.25">
      <c r="A3" s="75"/>
      <c r="B3" s="75"/>
      <c r="C3" s="75"/>
      <c r="D3" s="77"/>
      <c r="E3" s="78"/>
      <c r="F3" s="79"/>
      <c r="G3" s="78"/>
      <c r="H3" s="75"/>
      <c r="K3" t="s">
        <v>10</v>
      </c>
      <c r="L3">
        <v>18000</v>
      </c>
    </row>
    <row r="4" spans="1:15" ht="16.5" x14ac:dyDescent="0.25">
      <c r="A4" s="286" t="str">
        <f>"BẢNG TỔNG HỢP ĐIỆN - NƯỚC SINH HOẠT KÝ TÚC XÁ KHU K " &amp; L1</f>
        <v>BẢNG TỔNG HỢP ĐIỆN - NƯỚC SINH HOẠT KÝ TÚC XÁ KHU K THÁNG 1-5/2019</v>
      </c>
      <c r="B4" s="286"/>
      <c r="C4" s="286"/>
      <c r="D4" s="286"/>
      <c r="E4" s="286"/>
      <c r="F4" s="286"/>
      <c r="G4" s="286"/>
      <c r="H4" s="286"/>
      <c r="J4" t="s">
        <v>63</v>
      </c>
      <c r="K4" t="s">
        <v>149</v>
      </c>
      <c r="L4" t="s">
        <v>61</v>
      </c>
      <c r="M4" t="s">
        <v>62</v>
      </c>
      <c r="N4" t="s">
        <v>147</v>
      </c>
      <c r="O4" t="s">
        <v>148</v>
      </c>
    </row>
    <row r="5" spans="1:15" ht="16.5" x14ac:dyDescent="0.25">
      <c r="A5" s="290" t="s">
        <v>220</v>
      </c>
      <c r="B5" s="290"/>
      <c r="C5" s="290"/>
      <c r="D5" s="290"/>
      <c r="E5" s="290"/>
      <c r="F5" s="290"/>
      <c r="G5" s="290"/>
      <c r="H5" s="290"/>
      <c r="J5" s="63" t="s">
        <v>60</v>
      </c>
      <c r="K5" s="191">
        <v>308</v>
      </c>
      <c r="L5" s="191">
        <v>315</v>
      </c>
      <c r="M5">
        <f>L5-K5</f>
        <v>7</v>
      </c>
      <c r="N5" s="72">
        <f>SUM('so nguoi'!H8:H13)</f>
        <v>22</v>
      </c>
      <c r="O5">
        <f>M5/N5</f>
        <v>0.31818181818181818</v>
      </c>
    </row>
    <row r="6" spans="1:15" ht="18" customHeight="1" x14ac:dyDescent="0.25">
      <c r="A6" s="75"/>
      <c r="B6" s="75"/>
      <c r="C6" s="75"/>
      <c r="D6" s="77"/>
      <c r="E6" s="78"/>
      <c r="G6" s="114" t="s">
        <v>357</v>
      </c>
      <c r="H6" s="114"/>
      <c r="I6" s="108"/>
      <c r="J6" t="s">
        <v>64</v>
      </c>
      <c r="K6" s="191">
        <v>126</v>
      </c>
      <c r="L6" s="191">
        <v>144</v>
      </c>
      <c r="M6">
        <f t="shared" ref="M6:M8" si="0">L6-K6</f>
        <v>18</v>
      </c>
      <c r="N6" s="72">
        <f>SUM('so nguoi'!H14:H18)</f>
        <v>0</v>
      </c>
      <c r="O6" t="e">
        <f t="shared" ref="O6:O8" si="1">M6/N6</f>
        <v>#DIV/0!</v>
      </c>
    </row>
    <row r="7" spans="1:15" ht="18.75" customHeight="1" x14ac:dyDescent="0.25">
      <c r="A7" s="75"/>
      <c r="B7" s="75"/>
      <c r="C7" s="75"/>
      <c r="D7" s="77"/>
      <c r="E7" s="78"/>
      <c r="G7" s="123" t="s">
        <v>362</v>
      </c>
      <c r="H7" s="114"/>
      <c r="I7" s="108"/>
      <c r="J7" t="s">
        <v>65</v>
      </c>
      <c r="K7" s="191">
        <v>250</v>
      </c>
      <c r="L7" s="191">
        <v>250</v>
      </c>
      <c r="M7">
        <f t="shared" si="0"/>
        <v>0</v>
      </c>
      <c r="N7">
        <f>SUM('so nguoi'!J8:J13)</f>
        <v>0</v>
      </c>
      <c r="O7" t="e">
        <f t="shared" si="1"/>
        <v>#DIV/0!</v>
      </c>
    </row>
    <row r="8" spans="1:15" ht="34.5" customHeight="1" x14ac:dyDescent="0.25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66</v>
      </c>
      <c r="K8" s="191">
        <v>295</v>
      </c>
      <c r="L8" s="191">
        <v>862</v>
      </c>
      <c r="M8">
        <f t="shared" si="0"/>
        <v>567</v>
      </c>
      <c r="N8">
        <f>SUM('so nguoi'!J14:J18)</f>
        <v>0</v>
      </c>
      <c r="O8" t="e">
        <f t="shared" si="1"/>
        <v>#DIV/0!</v>
      </c>
    </row>
    <row r="9" spans="1:15" s="2" customFormat="1" ht="24.4" customHeight="1" x14ac:dyDescent="0.3">
      <c r="A9" s="124" t="s">
        <v>44</v>
      </c>
      <c r="B9" s="124"/>
      <c r="C9" s="124"/>
      <c r="D9" s="124"/>
      <c r="E9" s="125"/>
      <c r="F9" s="126"/>
      <c r="G9" s="128"/>
      <c r="H9" s="131" t="e">
        <f>SUM(G10:G12)</f>
        <v>#DIV/0!</v>
      </c>
      <c r="I9" s="53">
        <f>F9*12000</f>
        <v>0</v>
      </c>
      <c r="J9" s="2" t="s">
        <v>67</v>
      </c>
      <c r="K9" s="192">
        <v>1335</v>
      </c>
      <c r="L9" s="192">
        <v>1526</v>
      </c>
      <c r="M9" s="2">
        <f t="shared" ref="M9:M10" si="2">L9-K9</f>
        <v>191</v>
      </c>
      <c r="N9" s="2">
        <f>SUM('so nguoi'!L8:L13)</f>
        <v>0</v>
      </c>
      <c r="O9" s="2" t="e">
        <f t="shared" ref="O9:O10" si="3">M9/N9</f>
        <v>#DIV/0!</v>
      </c>
    </row>
    <row r="10" spans="1:15" ht="16.5" customHeight="1" x14ac:dyDescent="0.25">
      <c r="A10" s="5" t="s">
        <v>6</v>
      </c>
      <c r="B10" s="242">
        <v>3313</v>
      </c>
      <c r="C10" s="198">
        <v>3723</v>
      </c>
      <c r="D10" s="303">
        <f>VLOOKUP(RIGHT(LEFT(A9,11),4),'so nguoi'!$I$8:$N$21,2,0)</f>
        <v>0</v>
      </c>
      <c r="E10" s="6">
        <f>C10-B10</f>
        <v>410</v>
      </c>
      <c r="F10" s="17">
        <f>E10</f>
        <v>410</v>
      </c>
      <c r="G10" s="129">
        <f>F10*$L$2</f>
        <v>1189000</v>
      </c>
      <c r="H10" s="132"/>
      <c r="J10" t="s">
        <v>68</v>
      </c>
      <c r="K10" s="191">
        <v>834</v>
      </c>
      <c r="L10" s="191">
        <v>906</v>
      </c>
      <c r="M10">
        <f t="shared" si="2"/>
        <v>72</v>
      </c>
      <c r="N10">
        <f>SUM('so nguoi'!L14:L18)</f>
        <v>0</v>
      </c>
      <c r="O10" t="e">
        <f t="shared" si="3"/>
        <v>#DIV/0!</v>
      </c>
    </row>
    <row r="11" spans="1:15" ht="16.5" customHeight="1" x14ac:dyDescent="0.25">
      <c r="A11" s="7" t="s">
        <v>36</v>
      </c>
      <c r="B11" s="243">
        <v>92</v>
      </c>
      <c r="C11" s="196">
        <v>104</v>
      </c>
      <c r="D11" s="304"/>
      <c r="E11" s="8">
        <f>C11-B11</f>
        <v>12</v>
      </c>
      <c r="F11" s="18">
        <f>E11</f>
        <v>12</v>
      </c>
      <c r="G11" s="130">
        <f>F11*$L$3</f>
        <v>216000</v>
      </c>
      <c r="H11" s="132"/>
    </row>
    <row r="12" spans="1:15" ht="16.5" customHeight="1" x14ac:dyDescent="0.25">
      <c r="A12" s="7" t="s">
        <v>37</v>
      </c>
      <c r="B12" s="7">
        <f>K$8</f>
        <v>295</v>
      </c>
      <c r="C12" s="243">
        <f>L$8</f>
        <v>862</v>
      </c>
      <c r="D12" s="305"/>
      <c r="E12" s="8">
        <f>C12-B12</f>
        <v>567</v>
      </c>
      <c r="F12" s="18" t="e">
        <f>$O$8*D10</f>
        <v>#DIV/0!</v>
      </c>
      <c r="G12" s="130" t="e">
        <f>F12*$L$3</f>
        <v>#DIV/0!</v>
      </c>
      <c r="H12" s="133"/>
    </row>
    <row r="13" spans="1:15" s="2" customFormat="1" ht="24.4" customHeight="1" x14ac:dyDescent="0.3">
      <c r="A13" s="124" t="s">
        <v>45</v>
      </c>
      <c r="B13" s="124"/>
      <c r="C13" s="124"/>
      <c r="D13" s="124"/>
      <c r="E13" s="125"/>
      <c r="F13" s="126"/>
      <c r="G13" s="128"/>
      <c r="H13" s="131" t="e">
        <f>SUM(G14:G16)</f>
        <v>#DIV/0!</v>
      </c>
      <c r="I13" s="53">
        <f>F13*12000</f>
        <v>0</v>
      </c>
    </row>
    <row r="14" spans="1:15" ht="16.5" customHeight="1" x14ac:dyDescent="0.25">
      <c r="A14" s="5" t="s">
        <v>6</v>
      </c>
      <c r="B14" s="242">
        <v>12465</v>
      </c>
      <c r="C14" s="198">
        <v>12565</v>
      </c>
      <c r="D14" s="303">
        <f>VLOOKUP(RIGHT(LEFT(A13,11),4),'so nguoi'!$I$8:$N$21,2,0)</f>
        <v>0</v>
      </c>
      <c r="E14" s="6">
        <f>C14-B14</f>
        <v>100</v>
      </c>
      <c r="F14" s="17">
        <f>E14</f>
        <v>100</v>
      </c>
      <c r="G14" s="129">
        <f>F14*$L$2</f>
        <v>290000</v>
      </c>
      <c r="H14" s="132"/>
    </row>
    <row r="15" spans="1:15" ht="16.5" customHeight="1" x14ac:dyDescent="0.25">
      <c r="A15" s="7" t="s">
        <v>36</v>
      </c>
      <c r="B15" s="243">
        <v>110</v>
      </c>
      <c r="C15" s="7">
        <v>121</v>
      </c>
      <c r="D15" s="304"/>
      <c r="E15" s="8">
        <f>C15-B15</f>
        <v>11</v>
      </c>
      <c r="F15" s="18">
        <f>E15</f>
        <v>11</v>
      </c>
      <c r="G15" s="130">
        <f>F15*$L$3</f>
        <v>198000</v>
      </c>
      <c r="H15" s="132"/>
    </row>
    <row r="16" spans="1:15" ht="16.5" customHeight="1" x14ac:dyDescent="0.25">
      <c r="A16" s="7" t="s">
        <v>37</v>
      </c>
      <c r="B16" s="7">
        <f>K$8</f>
        <v>295</v>
      </c>
      <c r="C16" s="7">
        <f>L$8</f>
        <v>862</v>
      </c>
      <c r="D16" s="305"/>
      <c r="E16" s="8">
        <f>C16-B16</f>
        <v>567</v>
      </c>
      <c r="F16" s="18" t="e">
        <f>$O$8*D14</f>
        <v>#DIV/0!</v>
      </c>
      <c r="G16" s="130" t="e">
        <f>F16*$L$3</f>
        <v>#DIV/0!</v>
      </c>
      <c r="H16" s="133"/>
    </row>
    <row r="17" spans="1:9" s="2" customFormat="1" ht="24.4" customHeight="1" x14ac:dyDescent="0.3">
      <c r="A17" s="124" t="s">
        <v>46</v>
      </c>
      <c r="B17" s="124"/>
      <c r="C17" s="124"/>
      <c r="D17" s="124"/>
      <c r="E17" s="125"/>
      <c r="F17" s="126"/>
      <c r="G17" s="128"/>
      <c r="H17" s="131" t="e">
        <f>SUM(G18:G20)</f>
        <v>#DIV/0!</v>
      </c>
      <c r="I17" s="53"/>
    </row>
    <row r="18" spans="1:9" ht="16.5" customHeight="1" x14ac:dyDescent="0.25">
      <c r="A18" s="5" t="s">
        <v>6</v>
      </c>
      <c r="B18" s="198">
        <v>10532</v>
      </c>
      <c r="C18" s="198">
        <v>10647</v>
      </c>
      <c r="D18" s="306">
        <f>VLOOKUP(RIGHT(LEFT(A17,11),4),'so nguoi'!$I$8:$N$21,2,0)</f>
        <v>0</v>
      </c>
      <c r="E18" s="6">
        <f>C18-B18</f>
        <v>115</v>
      </c>
      <c r="F18" s="17">
        <f>E18</f>
        <v>115</v>
      </c>
      <c r="G18" s="129">
        <f>F18*$L$2</f>
        <v>333500</v>
      </c>
      <c r="H18" s="132"/>
    </row>
    <row r="19" spans="1:9" ht="16.5" customHeight="1" x14ac:dyDescent="0.25">
      <c r="A19" s="7" t="s">
        <v>36</v>
      </c>
      <c r="B19" s="7">
        <v>117</v>
      </c>
      <c r="C19" s="7">
        <v>133</v>
      </c>
      <c r="D19" s="307"/>
      <c r="E19" s="8">
        <f>C19-B19</f>
        <v>16</v>
      </c>
      <c r="F19" s="18">
        <f>E19</f>
        <v>16</v>
      </c>
      <c r="G19" s="130">
        <f>F19*$L$3</f>
        <v>288000</v>
      </c>
      <c r="H19" s="132"/>
    </row>
    <row r="20" spans="1:9" ht="16.5" customHeight="1" x14ac:dyDescent="0.25">
      <c r="A20" s="7" t="s">
        <v>37</v>
      </c>
      <c r="B20" s="7">
        <f>K$8</f>
        <v>295</v>
      </c>
      <c r="C20" s="7">
        <f>L$8</f>
        <v>862</v>
      </c>
      <c r="D20" s="308"/>
      <c r="E20" s="8">
        <f>C20-B20</f>
        <v>567</v>
      </c>
      <c r="F20" s="18" t="e">
        <f>$O$8*D18</f>
        <v>#DIV/0!</v>
      </c>
      <c r="G20" s="130" t="e">
        <f>F20*$L$3</f>
        <v>#DIV/0!</v>
      </c>
      <c r="H20" s="133"/>
    </row>
    <row r="21" spans="1:9" s="2" customFormat="1" ht="24.4" customHeight="1" x14ac:dyDescent="0.3">
      <c r="A21" s="124" t="s">
        <v>47</v>
      </c>
      <c r="B21" s="124"/>
      <c r="C21" s="124"/>
      <c r="D21" s="124"/>
      <c r="E21" s="125"/>
      <c r="F21" s="126"/>
      <c r="G21" s="128"/>
      <c r="H21" s="131" t="e">
        <f>SUM(G22:G24)</f>
        <v>#DIV/0!</v>
      </c>
      <c r="I21" s="53">
        <f>F21*12000</f>
        <v>0</v>
      </c>
    </row>
    <row r="22" spans="1:9" ht="16.5" customHeight="1" x14ac:dyDescent="0.25">
      <c r="A22" s="5" t="s">
        <v>6</v>
      </c>
      <c r="B22" s="193">
        <v>8765</v>
      </c>
      <c r="C22" s="5">
        <v>8789</v>
      </c>
      <c r="D22" s="306">
        <f>VLOOKUP(RIGHT(LEFT(A21,11),4),'so nguoi'!$I$8:$N$21,2,0)</f>
        <v>0</v>
      </c>
      <c r="E22" s="6">
        <f>C22-B22</f>
        <v>24</v>
      </c>
      <c r="F22" s="17">
        <f>E22</f>
        <v>24</v>
      </c>
      <c r="G22" s="129">
        <f>F22*$L$2</f>
        <v>69600</v>
      </c>
      <c r="H22" s="132"/>
    </row>
    <row r="23" spans="1:9" ht="16.5" customHeight="1" x14ac:dyDescent="0.25">
      <c r="A23" s="7" t="s">
        <v>36</v>
      </c>
      <c r="B23" s="7">
        <v>139</v>
      </c>
      <c r="C23" s="7">
        <v>144</v>
      </c>
      <c r="D23" s="307"/>
      <c r="E23" s="8">
        <f>C23-B23</f>
        <v>5</v>
      </c>
      <c r="F23" s="18">
        <f>E23</f>
        <v>5</v>
      </c>
      <c r="G23" s="129">
        <f>F23*$L$3</f>
        <v>90000</v>
      </c>
      <c r="H23" s="132"/>
    </row>
    <row r="24" spans="1:9" ht="16.5" customHeight="1" x14ac:dyDescent="0.25">
      <c r="A24" s="7" t="s">
        <v>37</v>
      </c>
      <c r="B24" s="7">
        <f>K$8</f>
        <v>295</v>
      </c>
      <c r="C24" s="7">
        <f>L$8</f>
        <v>862</v>
      </c>
      <c r="D24" s="308"/>
      <c r="E24" s="8">
        <f>C24-B24</f>
        <v>567</v>
      </c>
      <c r="F24" s="18" t="e">
        <f>$O$8*D22</f>
        <v>#DIV/0!</v>
      </c>
      <c r="G24" s="129" t="e">
        <f>F24*$L$3</f>
        <v>#DIV/0!</v>
      </c>
      <c r="H24" s="133"/>
    </row>
    <row r="25" spans="1:9" s="2" customFormat="1" ht="24.75" customHeight="1" x14ac:dyDescent="0.25">
      <c r="A25" s="237" t="s">
        <v>48</v>
      </c>
      <c r="B25" s="237"/>
      <c r="C25" s="237"/>
      <c r="D25" s="237"/>
      <c r="E25" s="238"/>
      <c r="F25" s="239"/>
      <c r="G25" s="240"/>
      <c r="H25" s="241" t="e">
        <f>SUM(G26:G28)</f>
        <v>#DIV/0!</v>
      </c>
      <c r="I25" s="50">
        <f>F25*12000</f>
        <v>0</v>
      </c>
    </row>
    <row r="26" spans="1:9" ht="16.5" customHeight="1" x14ac:dyDescent="0.25">
      <c r="A26" s="198" t="s">
        <v>6</v>
      </c>
      <c r="B26" s="198">
        <v>17890</v>
      </c>
      <c r="C26" s="242">
        <v>17959</v>
      </c>
      <c r="D26" s="295">
        <f>'so nguoi'!J18</f>
        <v>0</v>
      </c>
      <c r="E26" s="61">
        <f>C26-B26</f>
        <v>69</v>
      </c>
      <c r="F26" s="62">
        <f>E26</f>
        <v>69</v>
      </c>
      <c r="G26" s="136">
        <f>F26*$L$2</f>
        <v>200100</v>
      </c>
      <c r="H26" s="137"/>
    </row>
    <row r="27" spans="1:9" ht="16.5" customHeight="1" x14ac:dyDescent="0.25">
      <c r="A27" s="196" t="s">
        <v>36</v>
      </c>
      <c r="B27" s="196">
        <v>55</v>
      </c>
      <c r="C27" s="243">
        <v>64</v>
      </c>
      <c r="D27" s="296"/>
      <c r="E27" s="197">
        <f>C27-B27</f>
        <v>9</v>
      </c>
      <c r="F27" s="57">
        <f>E27</f>
        <v>9</v>
      </c>
      <c r="G27" s="135">
        <f>F27*$L$3</f>
        <v>162000</v>
      </c>
      <c r="H27" s="137"/>
    </row>
    <row r="28" spans="1:9" ht="16.5" customHeight="1" x14ac:dyDescent="0.25">
      <c r="A28" s="196" t="s">
        <v>37</v>
      </c>
      <c r="B28" s="196">
        <f>K$8</f>
        <v>295</v>
      </c>
      <c r="C28" s="196">
        <f>L$8</f>
        <v>862</v>
      </c>
      <c r="D28" s="297"/>
      <c r="E28" s="197">
        <f>C28-B28</f>
        <v>567</v>
      </c>
      <c r="F28" s="57" t="e">
        <f>$O$8*D26</f>
        <v>#DIV/0!</v>
      </c>
      <c r="G28" s="135" t="e">
        <f>F28*$L$3</f>
        <v>#DIV/0!</v>
      </c>
      <c r="H28" s="138"/>
    </row>
    <row r="29" spans="1:9" s="2" customFormat="1" ht="24.4" customHeight="1" x14ac:dyDescent="0.3">
      <c r="A29" s="159" t="s">
        <v>49</v>
      </c>
      <c r="B29" s="159"/>
      <c r="C29" s="159"/>
      <c r="D29" s="159"/>
      <c r="E29" s="234"/>
      <c r="F29" s="235"/>
      <c r="G29" s="236"/>
      <c r="H29" s="219" t="e">
        <f>SUM(G30:G32)</f>
        <v>#DIV/0!</v>
      </c>
      <c r="I29" s="53">
        <f>F29*12000</f>
        <v>0</v>
      </c>
    </row>
    <row r="30" spans="1:9" ht="16.5" customHeight="1" x14ac:dyDescent="0.25">
      <c r="A30" s="196" t="s">
        <v>6</v>
      </c>
      <c r="B30" s="196">
        <v>9398</v>
      </c>
      <c r="C30" s="243">
        <v>9522</v>
      </c>
      <c r="D30" s="295">
        <f>VLOOKUP(RIGHT(LEFT(A29,11),4),'so nguoi'!$K$8:$N$21,2,0)</f>
        <v>0</v>
      </c>
      <c r="E30" s="61">
        <f>C30-B30</f>
        <v>124</v>
      </c>
      <c r="F30" s="62">
        <f>E30</f>
        <v>124</v>
      </c>
      <c r="G30" s="136">
        <f>F30*$L$2</f>
        <v>359600</v>
      </c>
      <c r="H30" s="137"/>
    </row>
    <row r="31" spans="1:9" ht="16.5" customHeight="1" x14ac:dyDescent="0.25">
      <c r="A31" s="196" t="s">
        <v>36</v>
      </c>
      <c r="B31" s="196">
        <v>27</v>
      </c>
      <c r="C31" s="243">
        <v>31</v>
      </c>
      <c r="D31" s="296"/>
      <c r="E31" s="197">
        <f>C31-B31</f>
        <v>4</v>
      </c>
      <c r="F31" s="57">
        <f>E31</f>
        <v>4</v>
      </c>
      <c r="G31" s="135">
        <f>F31*$L$3</f>
        <v>72000</v>
      </c>
      <c r="H31" s="137"/>
    </row>
    <row r="32" spans="1:9" ht="16.5" customHeight="1" x14ac:dyDescent="0.25">
      <c r="A32" s="196" t="s">
        <v>37</v>
      </c>
      <c r="B32" s="196">
        <f>K$9</f>
        <v>1335</v>
      </c>
      <c r="C32" s="196">
        <f>L$9</f>
        <v>1526</v>
      </c>
      <c r="D32" s="297"/>
      <c r="E32" s="197">
        <f>C32-B32</f>
        <v>191</v>
      </c>
      <c r="F32" s="57" t="e">
        <f>$O$9*D30</f>
        <v>#DIV/0!</v>
      </c>
      <c r="G32" s="135" t="e">
        <f>F32*$L$3</f>
        <v>#DIV/0!</v>
      </c>
      <c r="H32" s="138"/>
    </row>
    <row r="33" spans="1:9" s="2" customFormat="1" ht="24.4" customHeight="1" x14ac:dyDescent="0.3">
      <c r="A33" s="159" t="s">
        <v>50</v>
      </c>
      <c r="B33" s="159"/>
      <c r="C33" s="159"/>
      <c r="D33" s="159"/>
      <c r="E33" s="234"/>
      <c r="F33" s="235"/>
      <c r="G33" s="236"/>
      <c r="H33" s="219" t="e">
        <f>SUM(G34:G36)</f>
        <v>#DIV/0!</v>
      </c>
      <c r="I33" s="53">
        <f>F33*12000</f>
        <v>0</v>
      </c>
    </row>
    <row r="34" spans="1:9" ht="16.5" customHeight="1" x14ac:dyDescent="0.25">
      <c r="A34" s="198" t="s">
        <v>6</v>
      </c>
      <c r="B34" s="198">
        <v>13122</v>
      </c>
      <c r="C34" s="242">
        <v>13210</v>
      </c>
      <c r="D34" s="295">
        <f>VLOOKUP(RIGHT(LEFT(A33,11),4),'so nguoi'!$K$8:$N$21,2,0)</f>
        <v>0</v>
      </c>
      <c r="E34" s="61">
        <f>C34-B34</f>
        <v>88</v>
      </c>
      <c r="F34" s="62">
        <f>E34</f>
        <v>88</v>
      </c>
      <c r="G34" s="136">
        <f>F34*$L$2</f>
        <v>255200</v>
      </c>
      <c r="H34" s="137"/>
    </row>
    <row r="35" spans="1:9" ht="16.5" customHeight="1" x14ac:dyDescent="0.25">
      <c r="A35" s="196" t="s">
        <v>36</v>
      </c>
      <c r="B35" s="196">
        <v>180</v>
      </c>
      <c r="C35" s="196">
        <v>193</v>
      </c>
      <c r="D35" s="296"/>
      <c r="E35" s="197">
        <f>C35-B35</f>
        <v>13</v>
      </c>
      <c r="F35" s="57">
        <f>E35</f>
        <v>13</v>
      </c>
      <c r="G35" s="135">
        <f>F35*$L$3</f>
        <v>234000</v>
      </c>
      <c r="H35" s="137"/>
    </row>
    <row r="36" spans="1:9" ht="16.5" customHeight="1" x14ac:dyDescent="0.25">
      <c r="A36" s="196" t="s">
        <v>37</v>
      </c>
      <c r="B36" s="196">
        <f>K$9</f>
        <v>1335</v>
      </c>
      <c r="C36" s="196">
        <f>L$9</f>
        <v>1526</v>
      </c>
      <c r="D36" s="297"/>
      <c r="E36" s="197">
        <f>C36-B36</f>
        <v>191</v>
      </c>
      <c r="F36" s="57" t="e">
        <f>$O$9*D34</f>
        <v>#DIV/0!</v>
      </c>
      <c r="G36" s="135" t="e">
        <f>F36*$L$3</f>
        <v>#DIV/0!</v>
      </c>
      <c r="H36" s="138"/>
    </row>
    <row r="37" spans="1:9" s="2" customFormat="1" ht="24.4" customHeight="1" x14ac:dyDescent="0.3">
      <c r="A37" s="124" t="s">
        <v>51</v>
      </c>
      <c r="B37" s="124"/>
      <c r="C37" s="124"/>
      <c r="D37" s="124"/>
      <c r="E37" s="125"/>
      <c r="F37" s="126"/>
      <c r="G37" s="128"/>
      <c r="H37" s="131" t="e">
        <f>SUM(G38:G40)</f>
        <v>#DIV/0!</v>
      </c>
      <c r="I37" s="53">
        <f>F37*12000</f>
        <v>0</v>
      </c>
    </row>
    <row r="38" spans="1:9" ht="16.5" customHeight="1" x14ac:dyDescent="0.25">
      <c r="A38" s="5" t="s">
        <v>6</v>
      </c>
      <c r="B38" s="232">
        <v>15334</v>
      </c>
      <c r="C38" s="198">
        <v>15334</v>
      </c>
      <c r="D38" s="306">
        <f>VLOOKUP(RIGHT(LEFT(A37,11),4),'so nguoi'!$K$8:$N$21,2,0)</f>
        <v>0</v>
      </c>
      <c r="E38" s="6">
        <f>C38-B38</f>
        <v>0</v>
      </c>
      <c r="F38" s="17">
        <f>E38</f>
        <v>0</v>
      </c>
      <c r="G38" s="129">
        <f>F38*$L$2</f>
        <v>0</v>
      </c>
      <c r="H38" s="132"/>
    </row>
    <row r="39" spans="1:9" ht="16.5" customHeight="1" x14ac:dyDescent="0.25">
      <c r="A39" s="7" t="s">
        <v>36</v>
      </c>
      <c r="B39" s="233">
        <v>224</v>
      </c>
      <c r="C39" s="243">
        <v>233</v>
      </c>
      <c r="D39" s="307"/>
      <c r="E39" s="8">
        <f>C39-B39</f>
        <v>9</v>
      </c>
      <c r="F39" s="18">
        <f>E39</f>
        <v>9</v>
      </c>
      <c r="G39" s="130">
        <f>F39*$L$3</f>
        <v>162000</v>
      </c>
      <c r="H39" s="132"/>
    </row>
    <row r="40" spans="1:9" ht="16.5" customHeight="1" x14ac:dyDescent="0.25">
      <c r="A40" s="7" t="s">
        <v>37</v>
      </c>
      <c r="B40" s="7">
        <f>K$9</f>
        <v>1335</v>
      </c>
      <c r="C40" s="243">
        <f>L$9</f>
        <v>1526</v>
      </c>
      <c r="D40" s="308"/>
      <c r="E40" s="8">
        <f>C40-B40</f>
        <v>191</v>
      </c>
      <c r="F40" s="18" t="e">
        <f>$O$9*D38</f>
        <v>#DIV/0!</v>
      </c>
      <c r="G40" s="130" t="e">
        <f>F40*$L$3</f>
        <v>#DIV/0!</v>
      </c>
      <c r="H40" s="133"/>
    </row>
    <row r="41" spans="1:9" s="227" customFormat="1" ht="24.4" customHeight="1" x14ac:dyDescent="0.3">
      <c r="A41" s="159" t="s">
        <v>52</v>
      </c>
      <c r="B41" s="159"/>
      <c r="C41" s="159"/>
      <c r="D41" s="159"/>
      <c r="E41" s="234"/>
      <c r="F41" s="235"/>
      <c r="G41" s="236"/>
      <c r="H41" s="219" t="e">
        <f>SUM(G42:G44)</f>
        <v>#DIV/0!</v>
      </c>
      <c r="I41" s="226">
        <f>F41*12000</f>
        <v>0</v>
      </c>
    </row>
    <row r="42" spans="1:9" s="229" customFormat="1" ht="16.5" customHeight="1" x14ac:dyDescent="0.25">
      <c r="A42" s="198" t="s">
        <v>6</v>
      </c>
      <c r="B42" s="198">
        <v>14015</v>
      </c>
      <c r="C42" s="242">
        <v>14281</v>
      </c>
      <c r="D42" s="295">
        <f>VLOOKUP(RIGHT(LEFT(A41,11),4),'so nguoi'!$K$8:$N$21,2,0)</f>
        <v>0</v>
      </c>
      <c r="E42" s="61">
        <f>C42-B42</f>
        <v>266</v>
      </c>
      <c r="F42" s="62">
        <f>E42</f>
        <v>266</v>
      </c>
      <c r="G42" s="136">
        <f>F42*$L$2</f>
        <v>771400</v>
      </c>
      <c r="H42" s="137"/>
      <c r="I42" s="228"/>
    </row>
    <row r="43" spans="1:9" s="229" customFormat="1" ht="16.5" customHeight="1" x14ac:dyDescent="0.25">
      <c r="A43" s="196" t="s">
        <v>36</v>
      </c>
      <c r="B43" s="196">
        <v>103</v>
      </c>
      <c r="C43" s="196">
        <v>125</v>
      </c>
      <c r="D43" s="296"/>
      <c r="E43" s="197">
        <f>C43-B43</f>
        <v>22</v>
      </c>
      <c r="F43" s="57">
        <f>E43</f>
        <v>22</v>
      </c>
      <c r="G43" s="135">
        <f>F43*$L$3</f>
        <v>396000</v>
      </c>
      <c r="H43" s="137"/>
      <c r="I43" s="228"/>
    </row>
    <row r="44" spans="1:9" s="229" customFormat="1" ht="16.5" customHeight="1" x14ac:dyDescent="0.25">
      <c r="A44" s="196" t="s">
        <v>37</v>
      </c>
      <c r="B44" s="196">
        <f>K$9</f>
        <v>1335</v>
      </c>
      <c r="C44" s="243">
        <f>L$9</f>
        <v>1526</v>
      </c>
      <c r="D44" s="297"/>
      <c r="E44" s="197">
        <f>C44-B44</f>
        <v>191</v>
      </c>
      <c r="F44" s="57" t="e">
        <f>$O$9*D42</f>
        <v>#DIV/0!</v>
      </c>
      <c r="G44" s="135" t="e">
        <f>F44*$L$3</f>
        <v>#DIV/0!</v>
      </c>
      <c r="H44" s="138"/>
      <c r="I44" s="228"/>
    </row>
    <row r="45" spans="1:9" s="2" customFormat="1" ht="24.4" customHeight="1" x14ac:dyDescent="0.3">
      <c r="A45" s="124" t="s">
        <v>53</v>
      </c>
      <c r="B45" s="124"/>
      <c r="C45" s="124"/>
      <c r="D45" s="124"/>
      <c r="E45" s="125"/>
      <c r="F45" s="126"/>
      <c r="G45" s="128"/>
      <c r="H45" s="131" t="e">
        <f>SUM(G46:G48)</f>
        <v>#DIV/0!</v>
      </c>
      <c r="I45" s="53">
        <f>F45*12000</f>
        <v>0</v>
      </c>
    </row>
    <row r="46" spans="1:9" ht="16.5" customHeight="1" x14ac:dyDescent="0.25">
      <c r="A46" s="5" t="s">
        <v>6</v>
      </c>
      <c r="B46" s="232">
        <v>14206</v>
      </c>
      <c r="C46" s="242">
        <v>14206</v>
      </c>
      <c r="D46" s="303">
        <f>VLOOKUP(RIGHT(LEFT(A45,11),4),'so nguoi'!$K$8:$N$21,2,0)</f>
        <v>0</v>
      </c>
      <c r="E46" s="6">
        <f>C46-B46</f>
        <v>0</v>
      </c>
      <c r="F46" s="17">
        <f>E46</f>
        <v>0</v>
      </c>
      <c r="G46" s="129">
        <f>F46*$L$2</f>
        <v>0</v>
      </c>
      <c r="H46" s="132"/>
    </row>
    <row r="47" spans="1:9" ht="16.5" customHeight="1" x14ac:dyDescent="0.25">
      <c r="A47" s="7" t="s">
        <v>36</v>
      </c>
      <c r="B47" s="233">
        <v>136</v>
      </c>
      <c r="C47" s="243">
        <v>136</v>
      </c>
      <c r="D47" s="304"/>
      <c r="E47" s="8">
        <f>C47-B47</f>
        <v>0</v>
      </c>
      <c r="F47" s="18">
        <f>E47</f>
        <v>0</v>
      </c>
      <c r="G47" s="130">
        <f>F47*$L$3</f>
        <v>0</v>
      </c>
      <c r="H47" s="132"/>
    </row>
    <row r="48" spans="1:9" ht="16.5" customHeight="1" x14ac:dyDescent="0.25">
      <c r="A48" s="7" t="s">
        <v>37</v>
      </c>
      <c r="B48" s="7">
        <f>K$9</f>
        <v>1335</v>
      </c>
      <c r="C48" s="7">
        <f>L$9</f>
        <v>1526</v>
      </c>
      <c r="D48" s="305"/>
      <c r="E48" s="8">
        <f>C48-B48</f>
        <v>191</v>
      </c>
      <c r="F48" s="18" t="e">
        <f>$O$9*D46</f>
        <v>#DIV/0!</v>
      </c>
      <c r="G48" s="130" t="e">
        <f>F48*$L$3</f>
        <v>#DIV/0!</v>
      </c>
      <c r="H48" s="133"/>
    </row>
    <row r="49" spans="1:9" s="2" customFormat="1" ht="24.4" customHeight="1" x14ac:dyDescent="0.3">
      <c r="A49" s="124" t="s">
        <v>54</v>
      </c>
      <c r="B49" s="124"/>
      <c r="C49" s="124"/>
      <c r="D49" s="124"/>
      <c r="E49" s="125"/>
      <c r="F49" s="126"/>
      <c r="G49" s="128"/>
      <c r="H49" s="131" t="e">
        <f>SUM(G50:G52)</f>
        <v>#DIV/0!</v>
      </c>
      <c r="I49" s="53">
        <f>F49*12000</f>
        <v>0</v>
      </c>
    </row>
    <row r="50" spans="1:9" ht="16.5" customHeight="1" x14ac:dyDescent="0.25">
      <c r="A50" s="5" t="s">
        <v>6</v>
      </c>
      <c r="B50" s="232">
        <v>12567</v>
      </c>
      <c r="C50" s="242">
        <v>12520</v>
      </c>
      <c r="D50" s="306">
        <f>VLOOKUP(RIGHT(LEFT(A49,11),4),'so nguoi'!$K$8:$N$21,2,0)</f>
        <v>0</v>
      </c>
      <c r="E50" s="6">
        <f>C50-B50</f>
        <v>-47</v>
      </c>
      <c r="F50" s="17">
        <f>E50</f>
        <v>-47</v>
      </c>
      <c r="G50" s="129">
        <f>F50*$L$2</f>
        <v>-136300</v>
      </c>
      <c r="H50" s="132"/>
    </row>
    <row r="51" spans="1:9" ht="16.5" customHeight="1" x14ac:dyDescent="0.25">
      <c r="A51" s="7" t="s">
        <v>36</v>
      </c>
      <c r="B51" s="233">
        <v>206</v>
      </c>
      <c r="C51" s="243">
        <v>239</v>
      </c>
      <c r="D51" s="307"/>
      <c r="E51" s="8">
        <f>C51-B51</f>
        <v>33</v>
      </c>
      <c r="F51" s="18">
        <f>E51</f>
        <v>33</v>
      </c>
      <c r="G51" s="130">
        <f>F51*$L$3</f>
        <v>594000</v>
      </c>
      <c r="H51" s="132"/>
    </row>
    <row r="52" spans="1:9" ht="16.5" customHeight="1" x14ac:dyDescent="0.25">
      <c r="A52" s="7" t="s">
        <v>37</v>
      </c>
      <c r="B52" s="7">
        <f>K$9</f>
        <v>1335</v>
      </c>
      <c r="C52" s="7">
        <f>L$9</f>
        <v>1526</v>
      </c>
      <c r="D52" s="308"/>
      <c r="E52" s="8">
        <f>C52-B52</f>
        <v>191</v>
      </c>
      <c r="F52" s="18" t="e">
        <f>$O$9*D50</f>
        <v>#DIV/0!</v>
      </c>
      <c r="G52" s="130" t="e">
        <f>F52*$L$3</f>
        <v>#DIV/0!</v>
      </c>
      <c r="H52" s="133"/>
    </row>
    <row r="53" spans="1:9" s="2" customFormat="1" ht="24.4" customHeight="1" x14ac:dyDescent="0.3">
      <c r="A53" s="124" t="s">
        <v>55</v>
      </c>
      <c r="B53" s="124"/>
      <c r="C53" s="124"/>
      <c r="D53" s="124"/>
      <c r="E53" s="125"/>
      <c r="F53" s="126"/>
      <c r="G53" s="128"/>
      <c r="H53" s="131" t="e">
        <f>SUM(G54:G56)</f>
        <v>#DIV/0!</v>
      </c>
      <c r="I53" s="53">
        <f>F53*12000</f>
        <v>0</v>
      </c>
    </row>
    <row r="54" spans="1:9" ht="16.5" customHeight="1" x14ac:dyDescent="0.25">
      <c r="A54" s="5" t="s">
        <v>6</v>
      </c>
      <c r="B54" s="198">
        <v>1283</v>
      </c>
      <c r="C54" s="242">
        <v>1283</v>
      </c>
      <c r="D54" s="303">
        <f>VLOOKUP(RIGHT(LEFT(A53,11),4),'so nguoi'!$K$8:$N$21,2,0)</f>
        <v>0</v>
      </c>
      <c r="E54" s="6">
        <f>C54-B54</f>
        <v>0</v>
      </c>
      <c r="F54" s="17">
        <f>E54</f>
        <v>0</v>
      </c>
      <c r="G54" s="129">
        <f>F54*$L$2</f>
        <v>0</v>
      </c>
      <c r="H54" s="132"/>
    </row>
    <row r="55" spans="1:9" s="59" customFormat="1" ht="16.5" customHeight="1" x14ac:dyDescent="0.25">
      <c r="A55" s="55" t="s">
        <v>36</v>
      </c>
      <c r="B55" s="196">
        <v>133</v>
      </c>
      <c r="C55" s="243">
        <v>131</v>
      </c>
      <c r="D55" s="304"/>
      <c r="E55" s="56">
        <f>C55-B55</f>
        <v>-2</v>
      </c>
      <c r="F55" s="57">
        <f>E55</f>
        <v>-2</v>
      </c>
      <c r="G55" s="135">
        <f>F55*$L$3</f>
        <v>-36000</v>
      </c>
      <c r="H55" s="137"/>
      <c r="I55" s="58"/>
    </row>
    <row r="56" spans="1:9" s="59" customFormat="1" ht="16.5" customHeight="1" x14ac:dyDescent="0.25">
      <c r="A56" s="55" t="s">
        <v>37</v>
      </c>
      <c r="B56" s="7">
        <f>K$10</f>
        <v>834</v>
      </c>
      <c r="C56" s="7">
        <f>L$10</f>
        <v>906</v>
      </c>
      <c r="D56" s="305"/>
      <c r="E56" s="56">
        <f>C56-B56</f>
        <v>72</v>
      </c>
      <c r="F56" s="18" t="e">
        <f>$O$10*D54</f>
        <v>#DIV/0!</v>
      </c>
      <c r="G56" s="135" t="e">
        <f>F56*$L$3</f>
        <v>#DIV/0!</v>
      </c>
      <c r="H56" s="138"/>
      <c r="I56" s="58"/>
    </row>
    <row r="57" spans="1:9" s="2" customFormat="1" ht="24.4" customHeight="1" x14ac:dyDescent="0.3">
      <c r="A57" s="159" t="s">
        <v>56</v>
      </c>
      <c r="B57" s="159"/>
      <c r="C57" s="159"/>
      <c r="D57" s="159"/>
      <c r="E57" s="234"/>
      <c r="F57" s="235"/>
      <c r="G57" s="236"/>
      <c r="H57" s="219" t="e">
        <f>SUM(G58:G60)</f>
        <v>#DIV/0!</v>
      </c>
      <c r="I57" s="53">
        <f>F57*12000</f>
        <v>0</v>
      </c>
    </row>
    <row r="58" spans="1:9" s="59" customFormat="1" ht="16.5" customHeight="1" x14ac:dyDescent="0.25">
      <c r="A58" s="198" t="s">
        <v>6</v>
      </c>
      <c r="B58" s="242">
        <v>6285</v>
      </c>
      <c r="C58" s="198">
        <v>6412</v>
      </c>
      <c r="D58" s="295">
        <f>VLOOKUP(RIGHT(LEFT(A57,11),4),'so nguoi'!$K$8:$N$21,2,0)</f>
        <v>0</v>
      </c>
      <c r="E58" s="61">
        <f>C58-B58</f>
        <v>127</v>
      </c>
      <c r="F58" s="62">
        <f>E58</f>
        <v>127</v>
      </c>
      <c r="G58" s="136">
        <f>F58*$L$2</f>
        <v>368300</v>
      </c>
      <c r="H58" s="137"/>
      <c r="I58" s="58"/>
    </row>
    <row r="59" spans="1:9" s="59" customFormat="1" ht="16.5" customHeight="1" x14ac:dyDescent="0.25">
      <c r="A59" s="196" t="s">
        <v>36</v>
      </c>
      <c r="B59" s="243">
        <v>96</v>
      </c>
      <c r="C59" s="196">
        <v>136</v>
      </c>
      <c r="D59" s="296"/>
      <c r="E59" s="197">
        <f>C59-B59</f>
        <v>40</v>
      </c>
      <c r="F59" s="57">
        <f>E59</f>
        <v>40</v>
      </c>
      <c r="G59" s="135">
        <f>F59*$L$3</f>
        <v>720000</v>
      </c>
      <c r="H59" s="137"/>
      <c r="I59" s="58"/>
    </row>
    <row r="60" spans="1:9" s="59" customFormat="1" ht="16.5" customHeight="1" x14ac:dyDescent="0.25">
      <c r="A60" s="196" t="s">
        <v>37</v>
      </c>
      <c r="B60" s="196">
        <f>K$10</f>
        <v>834</v>
      </c>
      <c r="C60" s="243">
        <f>L$10</f>
        <v>906</v>
      </c>
      <c r="D60" s="297"/>
      <c r="E60" s="197">
        <f>C60-B60</f>
        <v>72</v>
      </c>
      <c r="F60" s="57" t="e">
        <f>$O$10*D58</f>
        <v>#DIV/0!</v>
      </c>
      <c r="G60" s="135" t="e">
        <f>F60*$L$3</f>
        <v>#DIV/0!</v>
      </c>
      <c r="H60" s="138"/>
      <c r="I60" s="58"/>
    </row>
    <row r="61" spans="1:9" s="2" customFormat="1" ht="24.4" customHeight="1" x14ac:dyDescent="0.3">
      <c r="A61" s="124" t="s">
        <v>57</v>
      </c>
      <c r="B61" s="124"/>
      <c r="C61" s="124"/>
      <c r="D61" s="124"/>
      <c r="E61" s="125"/>
      <c r="F61" s="126"/>
      <c r="G61" s="128"/>
      <c r="H61" s="131" t="e">
        <f>SUM(G62:G64)</f>
        <v>#DIV/0!</v>
      </c>
      <c r="I61" s="53">
        <f>F61*12000</f>
        <v>0</v>
      </c>
    </row>
    <row r="62" spans="1:9" s="59" customFormat="1" ht="16.5" customHeight="1" x14ac:dyDescent="0.25">
      <c r="A62" s="55" t="s">
        <v>6</v>
      </c>
      <c r="B62" s="196">
        <v>9916</v>
      </c>
      <c r="C62" s="196">
        <v>9916</v>
      </c>
      <c r="D62" s="306">
        <f>VLOOKUP(RIGHT(LEFT(A61,11),4),'so nguoi'!$K$8:$N$21,2,0)</f>
        <v>0</v>
      </c>
      <c r="E62" s="61">
        <f>C62-B62</f>
        <v>0</v>
      </c>
      <c r="F62" s="62">
        <f>E62</f>
        <v>0</v>
      </c>
      <c r="G62" s="136">
        <f>F62*$L$2</f>
        <v>0</v>
      </c>
      <c r="H62" s="137"/>
      <c r="I62" s="58"/>
    </row>
    <row r="63" spans="1:9" s="59" customFormat="1" ht="16.5" customHeight="1" x14ac:dyDescent="0.25">
      <c r="A63" s="55" t="s">
        <v>36</v>
      </c>
      <c r="B63" s="196">
        <v>80</v>
      </c>
      <c r="C63" s="55">
        <v>80</v>
      </c>
      <c r="D63" s="307"/>
      <c r="E63" s="56">
        <f>C63-B63</f>
        <v>0</v>
      </c>
      <c r="F63" s="57">
        <f>E63</f>
        <v>0</v>
      </c>
      <c r="G63" s="135">
        <f>F63*$L$3</f>
        <v>0</v>
      </c>
      <c r="H63" s="137"/>
      <c r="I63" s="58"/>
    </row>
    <row r="64" spans="1:9" s="59" customFormat="1" ht="16.5" customHeight="1" x14ac:dyDescent="0.25">
      <c r="A64" s="55" t="s">
        <v>37</v>
      </c>
      <c r="B64" s="7">
        <f>K$10</f>
        <v>834</v>
      </c>
      <c r="C64" s="7">
        <f>L$10</f>
        <v>906</v>
      </c>
      <c r="D64" s="308"/>
      <c r="E64" s="56">
        <f>C64-B64</f>
        <v>72</v>
      </c>
      <c r="F64" s="18" t="e">
        <f>$O$10*D62</f>
        <v>#DIV/0!</v>
      </c>
      <c r="G64" s="135" t="e">
        <f>F64*$L$3</f>
        <v>#DIV/0!</v>
      </c>
      <c r="H64" s="138"/>
      <c r="I64" s="58"/>
    </row>
    <row r="65" spans="1:10" s="2" customFormat="1" ht="24.4" customHeight="1" x14ac:dyDescent="0.3">
      <c r="A65" s="124" t="s">
        <v>58</v>
      </c>
      <c r="B65" s="124"/>
      <c r="C65" s="124"/>
      <c r="D65" s="124"/>
      <c r="E65" s="125"/>
      <c r="F65" s="126"/>
      <c r="G65" s="128"/>
      <c r="H65" s="131" t="e">
        <f>SUM(G66:G68)</f>
        <v>#DIV/0!</v>
      </c>
      <c r="I65" s="53">
        <f>F65*12000</f>
        <v>0</v>
      </c>
    </row>
    <row r="66" spans="1:10" s="59" customFormat="1" ht="16.5" customHeight="1" x14ac:dyDescent="0.25">
      <c r="A66" s="60" t="s">
        <v>6</v>
      </c>
      <c r="B66" s="232">
        <v>2589</v>
      </c>
      <c r="C66" s="242">
        <v>2597</v>
      </c>
      <c r="D66" s="306">
        <f>VLOOKUP(RIGHT(LEFT(A65,11),4),'so nguoi'!$K$8:$N$21,2,0)</f>
        <v>0</v>
      </c>
      <c r="E66" s="61">
        <f>C66-B66</f>
        <v>8</v>
      </c>
      <c r="F66" s="62">
        <f>E66</f>
        <v>8</v>
      </c>
      <c r="G66" s="136">
        <f>F66*$L$2</f>
        <v>23200</v>
      </c>
      <c r="H66" s="137"/>
      <c r="I66" s="58"/>
    </row>
    <row r="67" spans="1:10" s="59" customFormat="1" ht="16.5" customHeight="1" x14ac:dyDescent="0.25">
      <c r="A67" s="55" t="s">
        <v>36</v>
      </c>
      <c r="B67" s="233">
        <v>130</v>
      </c>
      <c r="C67" s="243">
        <v>135</v>
      </c>
      <c r="D67" s="307"/>
      <c r="E67" s="56">
        <f>C67-B67</f>
        <v>5</v>
      </c>
      <c r="F67" s="57">
        <f>E67</f>
        <v>5</v>
      </c>
      <c r="G67" s="135">
        <f>F67*$L$3</f>
        <v>90000</v>
      </c>
      <c r="H67" s="137"/>
      <c r="I67" s="58"/>
    </row>
    <row r="68" spans="1:10" s="59" customFormat="1" ht="16.5" customHeight="1" x14ac:dyDescent="0.25">
      <c r="A68" s="55" t="s">
        <v>37</v>
      </c>
      <c r="B68" s="7">
        <f>K$10</f>
        <v>834</v>
      </c>
      <c r="C68" s="7">
        <f>L$10</f>
        <v>906</v>
      </c>
      <c r="D68" s="308"/>
      <c r="E68" s="56">
        <f>C68-B68</f>
        <v>72</v>
      </c>
      <c r="F68" s="18" t="e">
        <f>$O$10*D66</f>
        <v>#DIV/0!</v>
      </c>
      <c r="G68" s="135" t="e">
        <f>F68*$L$3</f>
        <v>#DIV/0!</v>
      </c>
      <c r="H68" s="138"/>
      <c r="I68" s="58"/>
    </row>
    <row r="69" spans="1:10" s="2" customFormat="1" ht="24.4" customHeight="1" x14ac:dyDescent="0.3">
      <c r="A69" s="124" t="s">
        <v>59</v>
      </c>
      <c r="B69" s="124"/>
      <c r="C69" s="124"/>
      <c r="D69" s="124"/>
      <c r="E69" s="125"/>
      <c r="F69" s="126"/>
      <c r="G69" s="128"/>
      <c r="H69" s="131" t="e">
        <f>SUM(G70:G72)</f>
        <v>#DIV/0!</v>
      </c>
      <c r="I69" s="53">
        <f>F69*12000</f>
        <v>0</v>
      </c>
    </row>
    <row r="70" spans="1:10" ht="16.5" customHeight="1" x14ac:dyDescent="0.25">
      <c r="A70" s="5" t="s">
        <v>6</v>
      </c>
      <c r="B70" s="198">
        <v>3985</v>
      </c>
      <c r="C70" s="198">
        <v>4156</v>
      </c>
      <c r="D70" s="303">
        <f>VLOOKUP(RIGHT(LEFT(A69,11),4),'so nguoi'!$K$8:$N$21,2,0)</f>
        <v>0</v>
      </c>
      <c r="E70" s="6">
        <f>C70-B70</f>
        <v>171</v>
      </c>
      <c r="F70" s="17">
        <f>E70</f>
        <v>171</v>
      </c>
      <c r="G70" s="129">
        <f>F70*$L$2</f>
        <v>495900</v>
      </c>
      <c r="H70" s="132"/>
    </row>
    <row r="71" spans="1:10" ht="16.5" customHeight="1" x14ac:dyDescent="0.25">
      <c r="A71" s="7" t="s">
        <v>36</v>
      </c>
      <c r="B71" s="196">
        <v>130</v>
      </c>
      <c r="C71" s="196">
        <v>147</v>
      </c>
      <c r="D71" s="304"/>
      <c r="E71" s="8">
        <f>C71-B71</f>
        <v>17</v>
      </c>
      <c r="F71" s="18">
        <f>E71</f>
        <v>17</v>
      </c>
      <c r="G71" s="130">
        <f>F71*$L$3</f>
        <v>306000</v>
      </c>
      <c r="H71" s="132"/>
    </row>
    <row r="72" spans="1:10" ht="16.5" customHeight="1" x14ac:dyDescent="0.25">
      <c r="A72" s="7" t="s">
        <v>37</v>
      </c>
      <c r="B72" s="7">
        <f>K$10</f>
        <v>834</v>
      </c>
      <c r="C72" s="7">
        <f>L$10</f>
        <v>906</v>
      </c>
      <c r="D72" s="305"/>
      <c r="E72" s="8">
        <f>C72-B72</f>
        <v>72</v>
      </c>
      <c r="F72" s="18" t="e">
        <f>$O$10*D70</f>
        <v>#DIV/0!</v>
      </c>
      <c r="G72" s="130" t="e">
        <f>F72*$L$3</f>
        <v>#DIV/0!</v>
      </c>
      <c r="H72" s="133"/>
    </row>
    <row r="73" spans="1:10" s="2" customFormat="1" ht="24.4" customHeight="1" x14ac:dyDescent="0.3">
      <c r="A73" s="124" t="s">
        <v>196</v>
      </c>
      <c r="B73" s="124"/>
      <c r="C73" s="124"/>
      <c r="D73" s="124"/>
      <c r="E73" s="125"/>
      <c r="F73" s="126"/>
      <c r="G73" s="128"/>
      <c r="H73" s="131">
        <f>SUM(G74)</f>
        <v>185600</v>
      </c>
      <c r="I73" s="53"/>
    </row>
    <row r="74" spans="1:10" ht="16.5" x14ac:dyDescent="0.25">
      <c r="A74" s="5" t="s">
        <v>6</v>
      </c>
      <c r="B74" s="5">
        <v>3495</v>
      </c>
      <c r="C74" s="5">
        <v>3559</v>
      </c>
      <c r="D74" s="11" t="s">
        <v>5</v>
      </c>
      <c r="E74" s="6">
        <f>C74-B74</f>
        <v>64</v>
      </c>
      <c r="F74" s="17">
        <f>E74</f>
        <v>64</v>
      </c>
      <c r="G74" s="13">
        <f>F74*$L$2</f>
        <v>185600</v>
      </c>
      <c r="H74" s="51"/>
    </row>
    <row r="75" spans="1:10" s="2" customFormat="1" ht="24.4" customHeight="1" x14ac:dyDescent="0.3">
      <c r="A75" s="124" t="s">
        <v>195</v>
      </c>
      <c r="B75" s="124"/>
      <c r="C75" s="124"/>
      <c r="D75" s="124"/>
      <c r="E75" s="125"/>
      <c r="F75" s="126"/>
      <c r="G75" s="128"/>
      <c r="H75" s="131">
        <f>SUM(G76)</f>
        <v>0</v>
      </c>
      <c r="I75" s="53"/>
    </row>
    <row r="76" spans="1:10" ht="16.5" x14ac:dyDescent="0.25">
      <c r="A76" s="5" t="s">
        <v>6</v>
      </c>
      <c r="B76" s="5">
        <v>462</v>
      </c>
      <c r="C76" s="5">
        <v>462</v>
      </c>
      <c r="D76" s="11" t="s">
        <v>5</v>
      </c>
      <c r="E76" s="6">
        <f>C76-B76</f>
        <v>0</v>
      </c>
      <c r="F76" s="17">
        <f>E76</f>
        <v>0</v>
      </c>
      <c r="G76" s="12">
        <f>F76*$L$2</f>
        <v>0</v>
      </c>
      <c r="H76" s="51"/>
    </row>
    <row r="77" spans="1:10" s="2" customFormat="1" ht="17.25" x14ac:dyDescent="0.25">
      <c r="A77" s="9" t="s">
        <v>194</v>
      </c>
      <c r="B77" s="9"/>
      <c r="C77" s="9"/>
      <c r="D77" s="9"/>
      <c r="E77" s="10"/>
      <c r="F77" s="19"/>
      <c r="G77" s="23"/>
      <c r="H77" s="22">
        <f>SUM(G78)</f>
        <v>0</v>
      </c>
      <c r="I77" s="53"/>
    </row>
    <row r="78" spans="1:10" ht="16.5" x14ac:dyDescent="0.25">
      <c r="A78" s="5" t="s">
        <v>6</v>
      </c>
      <c r="B78" s="5">
        <v>6546</v>
      </c>
      <c r="C78" s="5">
        <v>6546</v>
      </c>
      <c r="D78" s="11" t="s">
        <v>5</v>
      </c>
      <c r="E78" s="6">
        <f>C78-B78</f>
        <v>0</v>
      </c>
      <c r="F78" s="17">
        <f>E78</f>
        <v>0</v>
      </c>
      <c r="G78" s="13">
        <f>F78*$L$2</f>
        <v>0</v>
      </c>
      <c r="H78" s="51"/>
      <c r="J78" t="e">
        <f>LEFT(#REF!,3)</f>
        <v>#REF!</v>
      </c>
    </row>
    <row r="79" spans="1:10" s="2" customFormat="1" ht="17.25" x14ac:dyDescent="0.25">
      <c r="A79" s="14" t="s">
        <v>197</v>
      </c>
      <c r="B79" s="15"/>
      <c r="C79" s="15"/>
      <c r="D79" s="15"/>
      <c r="E79" s="16"/>
      <c r="F79" s="20"/>
      <c r="G79" s="24"/>
      <c r="H79" s="22">
        <f>SUM(G80)</f>
        <v>0</v>
      </c>
      <c r="I79" s="53"/>
    </row>
    <row r="80" spans="1:10" ht="16.5" x14ac:dyDescent="0.25">
      <c r="A80" s="5" t="s">
        <v>6</v>
      </c>
      <c r="B80" s="5">
        <v>4306</v>
      </c>
      <c r="C80" s="5">
        <v>4306</v>
      </c>
      <c r="D80" s="11" t="s">
        <v>5</v>
      </c>
      <c r="E80" s="6">
        <f>C80-B80</f>
        <v>0</v>
      </c>
      <c r="F80" s="17">
        <f>E80</f>
        <v>0</v>
      </c>
      <c r="G80" s="13">
        <f>F80*$L$2</f>
        <v>0</v>
      </c>
      <c r="H80" s="51"/>
    </row>
    <row r="81" spans="1:11" s="2" customFormat="1" ht="24.75" customHeight="1" x14ac:dyDescent="0.25">
      <c r="A81" s="14" t="s">
        <v>34</v>
      </c>
      <c r="B81" s="15"/>
      <c r="C81" s="15"/>
      <c r="D81" s="15"/>
      <c r="E81" s="16"/>
      <c r="F81" s="20"/>
      <c r="G81" s="24"/>
      <c r="H81" s="22">
        <f>SUM(G82)</f>
        <v>0</v>
      </c>
      <c r="I81" s="53"/>
      <c r="J81" s="107" t="e">
        <f>SUM(H9:H81)</f>
        <v>#DIV/0!</v>
      </c>
    </row>
    <row r="82" spans="1:11" ht="16.5" x14ac:dyDescent="0.25">
      <c r="A82" s="5" t="s">
        <v>8</v>
      </c>
      <c r="B82" s="5">
        <v>6063</v>
      </c>
      <c r="C82" s="5">
        <v>6063</v>
      </c>
      <c r="D82" s="11">
        <v>1</v>
      </c>
      <c r="E82" s="6">
        <f>C82-B82</f>
        <v>0</v>
      </c>
      <c r="F82" s="17">
        <f>E82</f>
        <v>0</v>
      </c>
      <c r="G82" s="13"/>
      <c r="H82" s="52"/>
    </row>
    <row r="83" spans="1:11" ht="23.25" customHeight="1" x14ac:dyDescent="0.25">
      <c r="A83" s="278" t="s">
        <v>13</v>
      </c>
      <c r="B83" s="279"/>
      <c r="C83" s="279"/>
      <c r="D83" s="279"/>
      <c r="E83" s="279"/>
      <c r="F83" s="280"/>
      <c r="G83" s="73">
        <f ca="1">SUMIF($A$8:$F$82,"Điện",G8:G82)</f>
        <v>4405100</v>
      </c>
      <c r="H83" s="73">
        <f ca="1">SUMIF($A$8:$F$82,"Điện",F8:F82)</f>
        <v>1519</v>
      </c>
      <c r="I83" s="104">
        <f ca="1">H83*2200</f>
        <v>3341800</v>
      </c>
    </row>
    <row r="84" spans="1:11" ht="23.25" customHeight="1" x14ac:dyDescent="0.25">
      <c r="A84" s="278" t="s">
        <v>14</v>
      </c>
      <c r="B84" s="279"/>
      <c r="C84" s="279"/>
      <c r="D84" s="279"/>
      <c r="E84" s="279"/>
      <c r="F84" s="280"/>
      <c r="G84" s="73" t="e">
        <f ca="1">SUMIF($A$8:$F$82,"Nước nhà tắm",G8:G82)+SUMIF($A$8:$F$82,"Nước Nhà VS",G8:G82)</f>
        <v>#DIV/0!</v>
      </c>
      <c r="H84" s="103" t="e">
        <f>SUMIF($A$9:$A$82,"Nước nhà tắm",F9:F82)+SUMIF($A$9:$A$82,"Nước Nhà VS",F9:F82)</f>
        <v>#DIV/0!</v>
      </c>
      <c r="I84" s="104" t="e">
        <f>H84*15000</f>
        <v>#DIV/0!</v>
      </c>
      <c r="J84" s="106" t="e">
        <f ca="1">I84-G84</f>
        <v>#DIV/0!</v>
      </c>
      <c r="K84" s="25" t="e">
        <f ca="1">G84/15000</f>
        <v>#DIV/0!</v>
      </c>
    </row>
    <row r="85" spans="1:11" ht="23.25" customHeight="1" x14ac:dyDescent="0.25">
      <c r="A85" s="278" t="s">
        <v>15</v>
      </c>
      <c r="B85" s="279"/>
      <c r="C85" s="279"/>
      <c r="D85" s="279"/>
      <c r="E85" s="279"/>
      <c r="F85" s="280"/>
      <c r="G85" s="73" t="e">
        <f ca="1">SUM(G83:G84)</f>
        <v>#DIV/0!</v>
      </c>
      <c r="H85" s="74"/>
      <c r="J85" s="25"/>
    </row>
    <row r="86" spans="1:11" ht="7.5" customHeight="1" x14ac:dyDescent="0.25">
      <c r="A86" s="75"/>
      <c r="B86" s="76"/>
      <c r="C86" s="75"/>
      <c r="D86" s="77"/>
      <c r="E86" s="78"/>
      <c r="F86" s="79"/>
      <c r="G86" s="78"/>
      <c r="H86" s="75"/>
    </row>
    <row r="87" spans="1:11" x14ac:dyDescent="0.25">
      <c r="A87" s="75"/>
      <c r="B87" s="75"/>
      <c r="C87" s="75"/>
      <c r="D87" s="77"/>
      <c r="E87" s="78"/>
      <c r="F87" s="309" t="str">
        <f ca="1">" TP. Hồ Chí Minh, ngày "&amp;DAY(NOW())&amp;" tháng "&amp;MONTH(NOW())&amp;" năm "&amp;YEAR(NOW())</f>
        <v xml:space="preserve"> TP. Hồ Chí Minh, ngày 10 tháng 6 năm 2020</v>
      </c>
      <c r="G87" s="309"/>
      <c r="H87" s="309"/>
      <c r="J87" s="25"/>
      <c r="K87" s="25"/>
    </row>
    <row r="88" spans="1:11" x14ac:dyDescent="0.25">
      <c r="A88" s="282" t="s">
        <v>17</v>
      </c>
      <c r="B88" s="282"/>
      <c r="C88" s="282"/>
      <c r="D88" s="77"/>
      <c r="E88" s="78"/>
      <c r="F88" s="283" t="s">
        <v>16</v>
      </c>
      <c r="G88" s="283"/>
      <c r="H88" s="283"/>
      <c r="J88" s="25"/>
    </row>
    <row r="89" spans="1:11" x14ac:dyDescent="0.25">
      <c r="A89" s="75"/>
      <c r="B89" s="75"/>
      <c r="C89" s="75"/>
      <c r="D89" s="77"/>
      <c r="E89" s="78"/>
      <c r="F89" s="79"/>
      <c r="G89" s="80"/>
      <c r="H89" s="81"/>
    </row>
    <row r="90" spans="1:11" x14ac:dyDescent="0.25">
      <c r="A90" s="75"/>
      <c r="B90" s="75"/>
      <c r="C90" s="75"/>
      <c r="D90" s="77"/>
      <c r="E90" s="78"/>
      <c r="F90" s="79"/>
      <c r="G90" s="78"/>
      <c r="H90" s="75"/>
    </row>
    <row r="91" spans="1:11" x14ac:dyDescent="0.25">
      <c r="A91" s="75"/>
      <c r="B91" s="75"/>
      <c r="C91" s="75"/>
      <c r="D91" s="77"/>
      <c r="E91" s="78"/>
      <c r="F91" s="79"/>
      <c r="G91" s="82"/>
      <c r="H91" s="75"/>
    </row>
    <row r="92" spans="1:11" x14ac:dyDescent="0.25">
      <c r="A92" s="274" t="s">
        <v>151</v>
      </c>
      <c r="B92" s="274"/>
      <c r="C92" s="274"/>
      <c r="D92" s="77"/>
      <c r="E92" s="78"/>
      <c r="F92" s="275" t="s">
        <v>207</v>
      </c>
      <c r="G92" s="275"/>
      <c r="H92" s="275"/>
    </row>
    <row r="94" spans="1:11" x14ac:dyDescent="0.25">
      <c r="A94" s="1"/>
    </row>
    <row r="95" spans="1:11" ht="28.15" customHeight="1" x14ac:dyDescent="0.25">
      <c r="A95" s="276" t="s">
        <v>188</v>
      </c>
      <c r="B95" s="276"/>
      <c r="D95"/>
      <c r="E95"/>
      <c r="F95"/>
      <c r="G95"/>
      <c r="I95"/>
    </row>
    <row r="96" spans="1:11" ht="24.4" customHeight="1" x14ac:dyDescent="0.25">
      <c r="A96" t="s">
        <v>187</v>
      </c>
      <c r="D96"/>
      <c r="E96"/>
      <c r="F96"/>
      <c r="G96"/>
      <c r="I96"/>
    </row>
    <row r="97" spans="3:9" x14ac:dyDescent="0.25">
      <c r="C97" s="50"/>
      <c r="D97"/>
      <c r="E97"/>
      <c r="F97"/>
      <c r="G97"/>
      <c r="I97"/>
    </row>
    <row r="98" spans="3:9" x14ac:dyDescent="0.25">
      <c r="C98" s="50"/>
      <c r="D98"/>
      <c r="E98"/>
      <c r="F98"/>
      <c r="G98"/>
      <c r="I98"/>
    </row>
  </sheetData>
  <mergeCells count="28">
    <mergeCell ref="A2:H2"/>
    <mergeCell ref="A4:H4"/>
    <mergeCell ref="D34:D36"/>
    <mergeCell ref="A5:H5"/>
    <mergeCell ref="A92:C92"/>
    <mergeCell ref="F92:H92"/>
    <mergeCell ref="F87:H87"/>
    <mergeCell ref="F88:H88"/>
    <mergeCell ref="A88:C88"/>
    <mergeCell ref="A83:F83"/>
    <mergeCell ref="D62:D64"/>
    <mergeCell ref="D66:D68"/>
    <mergeCell ref="D70:D72"/>
    <mergeCell ref="A85:F85"/>
    <mergeCell ref="D50:D52"/>
    <mergeCell ref="A84:F84"/>
    <mergeCell ref="A95:B95"/>
    <mergeCell ref="D42:D44"/>
    <mergeCell ref="D46:D48"/>
    <mergeCell ref="D10:D12"/>
    <mergeCell ref="D14:D16"/>
    <mergeCell ref="D18:D20"/>
    <mergeCell ref="D22:D24"/>
    <mergeCell ref="D26:D28"/>
    <mergeCell ref="D38:D40"/>
    <mergeCell ref="D30:D32"/>
    <mergeCell ref="D58:D60"/>
    <mergeCell ref="D54:D56"/>
  </mergeCells>
  <phoneticPr fontId="0" type="noConversion"/>
  <pageMargins left="0.22" right="0.18" top="0.33" bottom="0.21" header="0.17" footer="0.3"/>
  <pageSetup paperSize="9" fitToHeight="0" orientation="portrait" r:id="rId1"/>
  <headerFooter alignWithMargins="0"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Layout" zoomScaleNormal="100" zoomScaleSheetLayoutView="115" workbookViewId="0">
      <selection activeCell="A5" sqref="A5"/>
    </sheetView>
  </sheetViews>
  <sheetFormatPr defaultRowHeight="15" x14ac:dyDescent="0.25"/>
  <cols>
    <col min="1" max="1" width="11" customWidth="1"/>
    <col min="2" max="2" width="11.5703125" customWidth="1"/>
    <col min="3" max="3" width="20.85546875" customWidth="1"/>
    <col min="4" max="4" width="19.140625" customWidth="1"/>
    <col min="5" max="5" width="21.42578125" customWidth="1"/>
    <col min="6" max="6" width="12.7109375" customWidth="1"/>
    <col min="7" max="7" width="24.5703125" customWidth="1"/>
    <col min="8" max="8" width="13.140625" customWidth="1"/>
    <col min="9" max="9" width="13.7109375" bestFit="1" customWidth="1"/>
    <col min="10" max="10" width="11.140625" bestFit="1" customWidth="1"/>
    <col min="11" max="11" width="9.28515625" bestFit="1" customWidth="1"/>
  </cols>
  <sheetData>
    <row r="1" spans="1:15" ht="15.75" x14ac:dyDescent="0.25">
      <c r="A1" s="171" t="s">
        <v>215</v>
      </c>
      <c r="B1" s="171"/>
      <c r="C1" s="171"/>
      <c r="D1" s="171"/>
      <c r="E1" s="171"/>
      <c r="F1" s="171"/>
      <c r="G1" s="171"/>
      <c r="H1" s="171"/>
      <c r="I1" s="50"/>
      <c r="K1" t="s">
        <v>9</v>
      </c>
      <c r="L1">
        <v>2200</v>
      </c>
    </row>
    <row r="2" spans="1:15" ht="15.75" x14ac:dyDescent="0.25">
      <c r="A2" s="172" t="s">
        <v>214</v>
      </c>
      <c r="B2" s="172"/>
      <c r="C2" s="172"/>
      <c r="D2" s="172"/>
      <c r="E2" s="172"/>
      <c r="F2" s="172"/>
      <c r="G2" s="172"/>
      <c r="H2" s="172"/>
      <c r="I2" s="50"/>
      <c r="K2" t="s">
        <v>10</v>
      </c>
      <c r="L2">
        <v>15000</v>
      </c>
    </row>
    <row r="3" spans="1:15" x14ac:dyDescent="0.25">
      <c r="D3" s="4"/>
      <c r="E3" s="3"/>
      <c r="F3" s="21"/>
      <c r="G3" s="3"/>
      <c r="I3" s="50"/>
    </row>
    <row r="4" spans="1:15" ht="36.75" customHeight="1" x14ac:dyDescent="0.25">
      <c r="A4" s="310" t="str">
        <f>"BẢNG TỔNG HỢP 
ĐIỆN - NƯỚC SINH HOẠT KÝ TÚC XÁ KHU C &amp; K " &amp; 'Khu K107-K211'!L1</f>
        <v>BẢNG TỔNG HỢP 
ĐIỆN - NƯỚC SINH HOẠT KÝ TÚC XÁ KHU C &amp; K THÁNG 1-5/2019</v>
      </c>
      <c r="B4" s="310"/>
      <c r="C4" s="310"/>
      <c r="D4" s="310"/>
      <c r="E4" s="310"/>
      <c r="F4" s="170"/>
      <c r="G4" s="170"/>
      <c r="H4" s="170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33" x14ac:dyDescent="0.25">
      <c r="A5" s="75"/>
      <c r="B5" s="75"/>
      <c r="C5" s="75"/>
      <c r="D5" s="77"/>
      <c r="E5" s="78"/>
      <c r="F5" s="79"/>
      <c r="G5" s="78"/>
      <c r="H5" s="75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22</v>
      </c>
      <c r="O5" s="75">
        <f>M5/N5</f>
        <v>1.1818181818181819</v>
      </c>
    </row>
    <row r="6" spans="1:15" x14ac:dyDescent="0.25">
      <c r="A6" s="75"/>
      <c r="B6" s="75"/>
      <c r="C6" s="75"/>
      <c r="D6" s="114" t="s">
        <v>35</v>
      </c>
      <c r="F6" s="79"/>
      <c r="H6" s="114"/>
      <c r="I6" s="114"/>
      <c r="J6" s="75" t="s">
        <v>64</v>
      </c>
      <c r="K6" s="75">
        <v>60</v>
      </c>
      <c r="L6" s="75">
        <v>76</v>
      </c>
      <c r="M6" s="75">
        <f t="shared" ref="M6:M7" si="0">L6-K6</f>
        <v>16</v>
      </c>
      <c r="N6" s="113">
        <f>SUM('so nguoi'!H14:H18)</f>
        <v>0</v>
      </c>
      <c r="O6" s="75" t="e">
        <f t="shared" ref="O6:O7" si="1">M6/N6</f>
        <v>#DIV/0!</v>
      </c>
    </row>
    <row r="7" spans="1:15" x14ac:dyDescent="0.25">
      <c r="A7" s="75"/>
      <c r="B7" s="75"/>
      <c r="C7" s="75"/>
      <c r="D7" s="114" t="s">
        <v>185</v>
      </c>
      <c r="F7" s="79"/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0</v>
      </c>
      <c r="O7" s="75" t="e">
        <f t="shared" si="1"/>
        <v>#DIV/0!</v>
      </c>
    </row>
    <row r="8" spans="1:15" x14ac:dyDescent="0.25">
      <c r="A8" s="75"/>
      <c r="B8" s="75"/>
      <c r="C8" s="75"/>
      <c r="D8" s="75"/>
      <c r="E8" s="75"/>
    </row>
    <row r="9" spans="1:15" x14ac:dyDescent="0.25">
      <c r="A9" s="75"/>
      <c r="B9" s="75"/>
      <c r="C9" s="75"/>
      <c r="D9" s="75"/>
      <c r="E9" s="75"/>
    </row>
    <row r="10" spans="1:15" x14ac:dyDescent="0.25">
      <c r="A10" s="174" t="s">
        <v>208</v>
      </c>
      <c r="B10" s="174" t="s">
        <v>209</v>
      </c>
      <c r="C10" s="174" t="s">
        <v>210</v>
      </c>
      <c r="D10" s="174" t="s">
        <v>211</v>
      </c>
      <c r="E10" s="174" t="s">
        <v>168</v>
      </c>
    </row>
    <row r="11" spans="1:15" x14ac:dyDescent="0.25">
      <c r="A11" s="175">
        <v>1</v>
      </c>
      <c r="B11" s="175" t="s">
        <v>212</v>
      </c>
      <c r="C11" s="176">
        <f ca="1">'Khu C108-C214'!G57</f>
        <v>2552000</v>
      </c>
      <c r="D11" s="176">
        <f ca="1">'Khu C108-C214'!G58</f>
        <v>3555000</v>
      </c>
      <c r="E11" s="176">
        <f ca="1">D11+C11</f>
        <v>6107000</v>
      </c>
    </row>
    <row r="12" spans="1:15" x14ac:dyDescent="0.25">
      <c r="A12" s="175">
        <v>2</v>
      </c>
      <c r="B12" s="175" t="s">
        <v>213</v>
      </c>
      <c r="C12" s="176">
        <f ca="1">'Khu K107-K211'!G83</f>
        <v>4405100</v>
      </c>
      <c r="D12" s="176" t="e">
        <f ca="1">'Khu K107-K211'!G84</f>
        <v>#DIV/0!</v>
      </c>
      <c r="E12" s="176" t="e">
        <f ca="1">D12+C12</f>
        <v>#DIV/0!</v>
      </c>
    </row>
    <row r="13" spans="1:15" x14ac:dyDescent="0.25">
      <c r="A13" s="311" t="s">
        <v>168</v>
      </c>
      <c r="B13" s="312"/>
      <c r="C13" s="313"/>
      <c r="D13" s="177" t="e">
        <f ca="1">D11+D12</f>
        <v>#DIV/0!</v>
      </c>
      <c r="E13" s="177" t="e">
        <f ca="1">E11+E12</f>
        <v>#DIV/0!</v>
      </c>
    </row>
    <row r="14" spans="1:15" x14ac:dyDescent="0.25">
      <c r="A14" s="75"/>
      <c r="B14" s="75"/>
      <c r="C14" s="75"/>
      <c r="D14" s="75"/>
      <c r="E14" s="75"/>
    </row>
    <row r="15" spans="1:15" x14ac:dyDescent="0.25">
      <c r="A15" s="75"/>
      <c r="B15" s="75"/>
      <c r="C15" s="75"/>
      <c r="D15" s="178" t="str">
        <f ca="1">" TP. Hồ Chí Minh, ngày "&amp;DAY(NOW())&amp;" tháng "&amp;MONTH(NOW())&amp;" năm "&amp;YEAR(NOW())</f>
        <v xml:space="preserve"> TP. Hồ Chí Minh, ngày 10 tháng 6 năm 2020</v>
      </c>
      <c r="E15" s="75"/>
    </row>
    <row r="16" spans="1:15" x14ac:dyDescent="0.25">
      <c r="A16" s="75"/>
      <c r="B16" s="75"/>
      <c r="C16" s="75"/>
      <c r="D16" s="75"/>
      <c r="E16" s="75"/>
    </row>
    <row r="17" spans="1:5" x14ac:dyDescent="0.25">
      <c r="A17" s="75"/>
      <c r="B17" s="75"/>
      <c r="C17" s="149" t="s">
        <v>216</v>
      </c>
      <c r="D17" s="75"/>
      <c r="E17" s="173" t="s">
        <v>16</v>
      </c>
    </row>
    <row r="18" spans="1:5" x14ac:dyDescent="0.25">
      <c r="A18" s="75"/>
      <c r="B18" s="75"/>
      <c r="C18" s="149"/>
      <c r="D18" s="75"/>
      <c r="E18" s="173"/>
    </row>
    <row r="19" spans="1:5" x14ac:dyDescent="0.25">
      <c r="A19" s="75"/>
      <c r="B19" s="75"/>
      <c r="C19" s="149"/>
      <c r="D19" s="75"/>
      <c r="E19" s="173"/>
    </row>
    <row r="20" spans="1:5" x14ac:dyDescent="0.25">
      <c r="A20" s="75"/>
      <c r="B20" s="75"/>
      <c r="C20" s="149"/>
      <c r="D20" s="75"/>
      <c r="E20" s="173"/>
    </row>
    <row r="21" spans="1:5" x14ac:dyDescent="0.25">
      <c r="C21" s="149"/>
      <c r="D21" s="75"/>
      <c r="E21" s="173"/>
    </row>
    <row r="22" spans="1:5" x14ac:dyDescent="0.25">
      <c r="C22" s="149"/>
      <c r="D22" s="75"/>
      <c r="E22" s="173"/>
    </row>
    <row r="23" spans="1:5" x14ac:dyDescent="0.25">
      <c r="C23" s="149" t="s">
        <v>217</v>
      </c>
      <c r="D23" s="75"/>
      <c r="E23" s="173" t="s">
        <v>207</v>
      </c>
    </row>
  </sheetData>
  <mergeCells count="2">
    <mergeCell ref="A4:E4"/>
    <mergeCell ref="A13:C13"/>
  </mergeCells>
  <pageMargins left="0.97" right="0.7" top="0.75" bottom="0.75" header="0.3" footer="0.3"/>
  <pageSetup paperSize="9" scale="94" orientation="portrait" r:id="rId1"/>
  <colBreaks count="1" manualBreakCount="1">
    <brk id="5" max="2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topLeftCell="B34" workbookViewId="0">
      <selection activeCell="C11" sqref="C11"/>
    </sheetView>
  </sheetViews>
  <sheetFormatPr defaultColWidth="9" defaultRowHeight="15" x14ac:dyDescent="0.25"/>
  <cols>
    <col min="1" max="1" width="0.42578125" hidden="1" customWidth="1"/>
    <col min="2" max="2" width="9.42578125" customWidth="1"/>
    <col min="3" max="3" width="10.42578125" customWidth="1"/>
    <col min="4" max="4" width="10.7109375" customWidth="1"/>
    <col min="6" max="6" width="9.42578125" customWidth="1"/>
    <col min="7" max="7" width="13" customWidth="1"/>
    <col min="8" max="8" width="12" customWidth="1"/>
    <col min="9" max="9" width="17.140625" customWidth="1"/>
    <col min="10" max="10" width="16" customWidth="1"/>
    <col min="11" max="11" width="9.7109375" bestFit="1" customWidth="1"/>
    <col min="12" max="12" width="9.7109375" customWidth="1"/>
    <col min="16" max="16" width="10.85546875" bestFit="1" customWidth="1"/>
    <col min="257" max="257" width="0" hidden="1" customWidth="1"/>
    <col min="258" max="258" width="9.42578125" customWidth="1"/>
    <col min="259" max="259" width="10.42578125" customWidth="1"/>
    <col min="260" max="260" width="10.7109375" customWidth="1"/>
    <col min="262" max="262" width="9.42578125" customWidth="1"/>
    <col min="263" max="263" width="13" customWidth="1"/>
    <col min="264" max="264" width="12" customWidth="1"/>
    <col min="265" max="265" width="13.42578125" customWidth="1"/>
    <col min="266" max="266" width="16" customWidth="1"/>
    <col min="267" max="267" width="9.7109375" bestFit="1" customWidth="1"/>
    <col min="268" max="268" width="9.7109375" customWidth="1"/>
    <col min="272" max="272" width="10.85546875" bestFit="1" customWidth="1"/>
    <col min="513" max="513" width="0" hidden="1" customWidth="1"/>
    <col min="514" max="514" width="9.42578125" customWidth="1"/>
    <col min="515" max="515" width="10.42578125" customWidth="1"/>
    <col min="516" max="516" width="10.7109375" customWidth="1"/>
    <col min="518" max="518" width="9.42578125" customWidth="1"/>
    <col min="519" max="519" width="13" customWidth="1"/>
    <col min="520" max="520" width="12" customWidth="1"/>
    <col min="521" max="521" width="13.42578125" customWidth="1"/>
    <col min="522" max="522" width="16" customWidth="1"/>
    <col min="523" max="523" width="9.7109375" bestFit="1" customWidth="1"/>
    <col min="524" max="524" width="9.7109375" customWidth="1"/>
    <col min="528" max="528" width="10.85546875" bestFit="1" customWidth="1"/>
    <col min="769" max="769" width="0" hidden="1" customWidth="1"/>
    <col min="770" max="770" width="9.42578125" customWidth="1"/>
    <col min="771" max="771" width="10.42578125" customWidth="1"/>
    <col min="772" max="772" width="10.7109375" customWidth="1"/>
    <col min="774" max="774" width="9.42578125" customWidth="1"/>
    <col min="775" max="775" width="13" customWidth="1"/>
    <col min="776" max="776" width="12" customWidth="1"/>
    <col min="777" max="777" width="13.42578125" customWidth="1"/>
    <col min="778" max="778" width="16" customWidth="1"/>
    <col min="779" max="779" width="9.7109375" bestFit="1" customWidth="1"/>
    <col min="780" max="780" width="9.7109375" customWidth="1"/>
    <col min="784" max="784" width="10.85546875" bestFit="1" customWidth="1"/>
    <col min="1025" max="1025" width="0" hidden="1" customWidth="1"/>
    <col min="1026" max="1026" width="9.42578125" customWidth="1"/>
    <col min="1027" max="1027" width="10.42578125" customWidth="1"/>
    <col min="1028" max="1028" width="10.7109375" customWidth="1"/>
    <col min="1030" max="1030" width="9.42578125" customWidth="1"/>
    <col min="1031" max="1031" width="13" customWidth="1"/>
    <col min="1032" max="1032" width="12" customWidth="1"/>
    <col min="1033" max="1033" width="13.42578125" customWidth="1"/>
    <col min="1034" max="1034" width="16" customWidth="1"/>
    <col min="1035" max="1035" width="9.7109375" bestFit="1" customWidth="1"/>
    <col min="1036" max="1036" width="9.7109375" customWidth="1"/>
    <col min="1040" max="1040" width="10.85546875" bestFit="1" customWidth="1"/>
    <col min="1281" max="1281" width="0" hidden="1" customWidth="1"/>
    <col min="1282" max="1282" width="9.42578125" customWidth="1"/>
    <col min="1283" max="1283" width="10.42578125" customWidth="1"/>
    <col min="1284" max="1284" width="10.7109375" customWidth="1"/>
    <col min="1286" max="1286" width="9.42578125" customWidth="1"/>
    <col min="1287" max="1287" width="13" customWidth="1"/>
    <col min="1288" max="1288" width="12" customWidth="1"/>
    <col min="1289" max="1289" width="13.42578125" customWidth="1"/>
    <col min="1290" max="1290" width="16" customWidth="1"/>
    <col min="1291" max="1291" width="9.7109375" bestFit="1" customWidth="1"/>
    <col min="1292" max="1292" width="9.7109375" customWidth="1"/>
    <col min="1296" max="1296" width="10.85546875" bestFit="1" customWidth="1"/>
    <col min="1537" max="1537" width="0" hidden="1" customWidth="1"/>
    <col min="1538" max="1538" width="9.42578125" customWidth="1"/>
    <col min="1539" max="1539" width="10.42578125" customWidth="1"/>
    <col min="1540" max="1540" width="10.7109375" customWidth="1"/>
    <col min="1542" max="1542" width="9.42578125" customWidth="1"/>
    <col min="1543" max="1543" width="13" customWidth="1"/>
    <col min="1544" max="1544" width="12" customWidth="1"/>
    <col min="1545" max="1545" width="13.42578125" customWidth="1"/>
    <col min="1546" max="1546" width="16" customWidth="1"/>
    <col min="1547" max="1547" width="9.7109375" bestFit="1" customWidth="1"/>
    <col min="1548" max="1548" width="9.7109375" customWidth="1"/>
    <col min="1552" max="1552" width="10.85546875" bestFit="1" customWidth="1"/>
    <col min="1793" max="1793" width="0" hidden="1" customWidth="1"/>
    <col min="1794" max="1794" width="9.42578125" customWidth="1"/>
    <col min="1795" max="1795" width="10.42578125" customWidth="1"/>
    <col min="1796" max="1796" width="10.7109375" customWidth="1"/>
    <col min="1798" max="1798" width="9.42578125" customWidth="1"/>
    <col min="1799" max="1799" width="13" customWidth="1"/>
    <col min="1800" max="1800" width="12" customWidth="1"/>
    <col min="1801" max="1801" width="13.42578125" customWidth="1"/>
    <col min="1802" max="1802" width="16" customWidth="1"/>
    <col min="1803" max="1803" width="9.7109375" bestFit="1" customWidth="1"/>
    <col min="1804" max="1804" width="9.7109375" customWidth="1"/>
    <col min="1808" max="1808" width="10.85546875" bestFit="1" customWidth="1"/>
    <col min="2049" max="2049" width="0" hidden="1" customWidth="1"/>
    <col min="2050" max="2050" width="9.42578125" customWidth="1"/>
    <col min="2051" max="2051" width="10.42578125" customWidth="1"/>
    <col min="2052" max="2052" width="10.7109375" customWidth="1"/>
    <col min="2054" max="2054" width="9.42578125" customWidth="1"/>
    <col min="2055" max="2055" width="13" customWidth="1"/>
    <col min="2056" max="2056" width="12" customWidth="1"/>
    <col min="2057" max="2057" width="13.42578125" customWidth="1"/>
    <col min="2058" max="2058" width="16" customWidth="1"/>
    <col min="2059" max="2059" width="9.7109375" bestFit="1" customWidth="1"/>
    <col min="2060" max="2060" width="9.7109375" customWidth="1"/>
    <col min="2064" max="2064" width="10.85546875" bestFit="1" customWidth="1"/>
    <col min="2305" max="2305" width="0" hidden="1" customWidth="1"/>
    <col min="2306" max="2306" width="9.42578125" customWidth="1"/>
    <col min="2307" max="2307" width="10.42578125" customWidth="1"/>
    <col min="2308" max="2308" width="10.7109375" customWidth="1"/>
    <col min="2310" max="2310" width="9.42578125" customWidth="1"/>
    <col min="2311" max="2311" width="13" customWidth="1"/>
    <col min="2312" max="2312" width="12" customWidth="1"/>
    <col min="2313" max="2313" width="13.42578125" customWidth="1"/>
    <col min="2314" max="2314" width="16" customWidth="1"/>
    <col min="2315" max="2315" width="9.7109375" bestFit="1" customWidth="1"/>
    <col min="2316" max="2316" width="9.7109375" customWidth="1"/>
    <col min="2320" max="2320" width="10.85546875" bestFit="1" customWidth="1"/>
    <col min="2561" max="2561" width="0" hidden="1" customWidth="1"/>
    <col min="2562" max="2562" width="9.42578125" customWidth="1"/>
    <col min="2563" max="2563" width="10.42578125" customWidth="1"/>
    <col min="2564" max="2564" width="10.7109375" customWidth="1"/>
    <col min="2566" max="2566" width="9.42578125" customWidth="1"/>
    <col min="2567" max="2567" width="13" customWidth="1"/>
    <col min="2568" max="2568" width="12" customWidth="1"/>
    <col min="2569" max="2569" width="13.42578125" customWidth="1"/>
    <col min="2570" max="2570" width="16" customWidth="1"/>
    <col min="2571" max="2571" width="9.7109375" bestFit="1" customWidth="1"/>
    <col min="2572" max="2572" width="9.7109375" customWidth="1"/>
    <col min="2576" max="2576" width="10.85546875" bestFit="1" customWidth="1"/>
    <col min="2817" max="2817" width="0" hidden="1" customWidth="1"/>
    <col min="2818" max="2818" width="9.42578125" customWidth="1"/>
    <col min="2819" max="2819" width="10.42578125" customWidth="1"/>
    <col min="2820" max="2820" width="10.7109375" customWidth="1"/>
    <col min="2822" max="2822" width="9.42578125" customWidth="1"/>
    <col min="2823" max="2823" width="13" customWidth="1"/>
    <col min="2824" max="2824" width="12" customWidth="1"/>
    <col min="2825" max="2825" width="13.42578125" customWidth="1"/>
    <col min="2826" max="2826" width="16" customWidth="1"/>
    <col min="2827" max="2827" width="9.7109375" bestFit="1" customWidth="1"/>
    <col min="2828" max="2828" width="9.7109375" customWidth="1"/>
    <col min="2832" max="2832" width="10.85546875" bestFit="1" customWidth="1"/>
    <col min="3073" max="3073" width="0" hidden="1" customWidth="1"/>
    <col min="3074" max="3074" width="9.42578125" customWidth="1"/>
    <col min="3075" max="3075" width="10.42578125" customWidth="1"/>
    <col min="3076" max="3076" width="10.7109375" customWidth="1"/>
    <col min="3078" max="3078" width="9.42578125" customWidth="1"/>
    <col min="3079" max="3079" width="13" customWidth="1"/>
    <col min="3080" max="3080" width="12" customWidth="1"/>
    <col min="3081" max="3081" width="13.42578125" customWidth="1"/>
    <col min="3082" max="3082" width="16" customWidth="1"/>
    <col min="3083" max="3083" width="9.7109375" bestFit="1" customWidth="1"/>
    <col min="3084" max="3084" width="9.7109375" customWidth="1"/>
    <col min="3088" max="3088" width="10.85546875" bestFit="1" customWidth="1"/>
    <col min="3329" max="3329" width="0" hidden="1" customWidth="1"/>
    <col min="3330" max="3330" width="9.42578125" customWidth="1"/>
    <col min="3331" max="3331" width="10.42578125" customWidth="1"/>
    <col min="3332" max="3332" width="10.7109375" customWidth="1"/>
    <col min="3334" max="3334" width="9.42578125" customWidth="1"/>
    <col min="3335" max="3335" width="13" customWidth="1"/>
    <col min="3336" max="3336" width="12" customWidth="1"/>
    <col min="3337" max="3337" width="13.42578125" customWidth="1"/>
    <col min="3338" max="3338" width="16" customWidth="1"/>
    <col min="3339" max="3339" width="9.7109375" bestFit="1" customWidth="1"/>
    <col min="3340" max="3340" width="9.7109375" customWidth="1"/>
    <col min="3344" max="3344" width="10.85546875" bestFit="1" customWidth="1"/>
    <col min="3585" max="3585" width="0" hidden="1" customWidth="1"/>
    <col min="3586" max="3586" width="9.42578125" customWidth="1"/>
    <col min="3587" max="3587" width="10.42578125" customWidth="1"/>
    <col min="3588" max="3588" width="10.7109375" customWidth="1"/>
    <col min="3590" max="3590" width="9.42578125" customWidth="1"/>
    <col min="3591" max="3591" width="13" customWidth="1"/>
    <col min="3592" max="3592" width="12" customWidth="1"/>
    <col min="3593" max="3593" width="13.42578125" customWidth="1"/>
    <col min="3594" max="3594" width="16" customWidth="1"/>
    <col min="3595" max="3595" width="9.7109375" bestFit="1" customWidth="1"/>
    <col min="3596" max="3596" width="9.7109375" customWidth="1"/>
    <col min="3600" max="3600" width="10.85546875" bestFit="1" customWidth="1"/>
    <col min="3841" max="3841" width="0" hidden="1" customWidth="1"/>
    <col min="3842" max="3842" width="9.42578125" customWidth="1"/>
    <col min="3843" max="3843" width="10.42578125" customWidth="1"/>
    <col min="3844" max="3844" width="10.7109375" customWidth="1"/>
    <col min="3846" max="3846" width="9.42578125" customWidth="1"/>
    <col min="3847" max="3847" width="13" customWidth="1"/>
    <col min="3848" max="3848" width="12" customWidth="1"/>
    <col min="3849" max="3849" width="13.42578125" customWidth="1"/>
    <col min="3850" max="3850" width="16" customWidth="1"/>
    <col min="3851" max="3851" width="9.7109375" bestFit="1" customWidth="1"/>
    <col min="3852" max="3852" width="9.7109375" customWidth="1"/>
    <col min="3856" max="3856" width="10.85546875" bestFit="1" customWidth="1"/>
    <col min="4097" max="4097" width="0" hidden="1" customWidth="1"/>
    <col min="4098" max="4098" width="9.42578125" customWidth="1"/>
    <col min="4099" max="4099" width="10.42578125" customWidth="1"/>
    <col min="4100" max="4100" width="10.7109375" customWidth="1"/>
    <col min="4102" max="4102" width="9.42578125" customWidth="1"/>
    <col min="4103" max="4103" width="13" customWidth="1"/>
    <col min="4104" max="4104" width="12" customWidth="1"/>
    <col min="4105" max="4105" width="13.42578125" customWidth="1"/>
    <col min="4106" max="4106" width="16" customWidth="1"/>
    <col min="4107" max="4107" width="9.7109375" bestFit="1" customWidth="1"/>
    <col min="4108" max="4108" width="9.7109375" customWidth="1"/>
    <col min="4112" max="4112" width="10.85546875" bestFit="1" customWidth="1"/>
    <col min="4353" max="4353" width="0" hidden="1" customWidth="1"/>
    <col min="4354" max="4354" width="9.42578125" customWidth="1"/>
    <col min="4355" max="4355" width="10.42578125" customWidth="1"/>
    <col min="4356" max="4356" width="10.7109375" customWidth="1"/>
    <col min="4358" max="4358" width="9.42578125" customWidth="1"/>
    <col min="4359" max="4359" width="13" customWidth="1"/>
    <col min="4360" max="4360" width="12" customWidth="1"/>
    <col min="4361" max="4361" width="13.42578125" customWidth="1"/>
    <col min="4362" max="4362" width="16" customWidth="1"/>
    <col min="4363" max="4363" width="9.7109375" bestFit="1" customWidth="1"/>
    <col min="4364" max="4364" width="9.7109375" customWidth="1"/>
    <col min="4368" max="4368" width="10.85546875" bestFit="1" customWidth="1"/>
    <col min="4609" max="4609" width="0" hidden="1" customWidth="1"/>
    <col min="4610" max="4610" width="9.42578125" customWidth="1"/>
    <col min="4611" max="4611" width="10.42578125" customWidth="1"/>
    <col min="4612" max="4612" width="10.7109375" customWidth="1"/>
    <col min="4614" max="4614" width="9.42578125" customWidth="1"/>
    <col min="4615" max="4615" width="13" customWidth="1"/>
    <col min="4616" max="4616" width="12" customWidth="1"/>
    <col min="4617" max="4617" width="13.42578125" customWidth="1"/>
    <col min="4618" max="4618" width="16" customWidth="1"/>
    <col min="4619" max="4619" width="9.7109375" bestFit="1" customWidth="1"/>
    <col min="4620" max="4620" width="9.7109375" customWidth="1"/>
    <col min="4624" max="4624" width="10.85546875" bestFit="1" customWidth="1"/>
    <col min="4865" max="4865" width="0" hidden="1" customWidth="1"/>
    <col min="4866" max="4866" width="9.42578125" customWidth="1"/>
    <col min="4867" max="4867" width="10.42578125" customWidth="1"/>
    <col min="4868" max="4868" width="10.7109375" customWidth="1"/>
    <col min="4870" max="4870" width="9.42578125" customWidth="1"/>
    <col min="4871" max="4871" width="13" customWidth="1"/>
    <col min="4872" max="4872" width="12" customWidth="1"/>
    <col min="4873" max="4873" width="13.42578125" customWidth="1"/>
    <col min="4874" max="4874" width="16" customWidth="1"/>
    <col min="4875" max="4875" width="9.7109375" bestFit="1" customWidth="1"/>
    <col min="4876" max="4876" width="9.7109375" customWidth="1"/>
    <col min="4880" max="4880" width="10.85546875" bestFit="1" customWidth="1"/>
    <col min="5121" max="5121" width="0" hidden="1" customWidth="1"/>
    <col min="5122" max="5122" width="9.42578125" customWidth="1"/>
    <col min="5123" max="5123" width="10.42578125" customWidth="1"/>
    <col min="5124" max="5124" width="10.7109375" customWidth="1"/>
    <col min="5126" max="5126" width="9.42578125" customWidth="1"/>
    <col min="5127" max="5127" width="13" customWidth="1"/>
    <col min="5128" max="5128" width="12" customWidth="1"/>
    <col min="5129" max="5129" width="13.42578125" customWidth="1"/>
    <col min="5130" max="5130" width="16" customWidth="1"/>
    <col min="5131" max="5131" width="9.7109375" bestFit="1" customWidth="1"/>
    <col min="5132" max="5132" width="9.7109375" customWidth="1"/>
    <col min="5136" max="5136" width="10.85546875" bestFit="1" customWidth="1"/>
    <col min="5377" max="5377" width="0" hidden="1" customWidth="1"/>
    <col min="5378" max="5378" width="9.42578125" customWidth="1"/>
    <col min="5379" max="5379" width="10.42578125" customWidth="1"/>
    <col min="5380" max="5380" width="10.7109375" customWidth="1"/>
    <col min="5382" max="5382" width="9.42578125" customWidth="1"/>
    <col min="5383" max="5383" width="13" customWidth="1"/>
    <col min="5384" max="5384" width="12" customWidth="1"/>
    <col min="5385" max="5385" width="13.42578125" customWidth="1"/>
    <col min="5386" max="5386" width="16" customWidth="1"/>
    <col min="5387" max="5387" width="9.7109375" bestFit="1" customWidth="1"/>
    <col min="5388" max="5388" width="9.7109375" customWidth="1"/>
    <col min="5392" max="5392" width="10.85546875" bestFit="1" customWidth="1"/>
    <col min="5633" max="5633" width="0" hidden="1" customWidth="1"/>
    <col min="5634" max="5634" width="9.42578125" customWidth="1"/>
    <col min="5635" max="5635" width="10.42578125" customWidth="1"/>
    <col min="5636" max="5636" width="10.7109375" customWidth="1"/>
    <col min="5638" max="5638" width="9.42578125" customWidth="1"/>
    <col min="5639" max="5639" width="13" customWidth="1"/>
    <col min="5640" max="5640" width="12" customWidth="1"/>
    <col min="5641" max="5641" width="13.42578125" customWidth="1"/>
    <col min="5642" max="5642" width="16" customWidth="1"/>
    <col min="5643" max="5643" width="9.7109375" bestFit="1" customWidth="1"/>
    <col min="5644" max="5644" width="9.7109375" customWidth="1"/>
    <col min="5648" max="5648" width="10.85546875" bestFit="1" customWidth="1"/>
    <col min="5889" max="5889" width="0" hidden="1" customWidth="1"/>
    <col min="5890" max="5890" width="9.42578125" customWidth="1"/>
    <col min="5891" max="5891" width="10.42578125" customWidth="1"/>
    <col min="5892" max="5892" width="10.7109375" customWidth="1"/>
    <col min="5894" max="5894" width="9.42578125" customWidth="1"/>
    <col min="5895" max="5895" width="13" customWidth="1"/>
    <col min="5896" max="5896" width="12" customWidth="1"/>
    <col min="5897" max="5897" width="13.42578125" customWidth="1"/>
    <col min="5898" max="5898" width="16" customWidth="1"/>
    <col min="5899" max="5899" width="9.7109375" bestFit="1" customWidth="1"/>
    <col min="5900" max="5900" width="9.7109375" customWidth="1"/>
    <col min="5904" max="5904" width="10.85546875" bestFit="1" customWidth="1"/>
    <col min="6145" max="6145" width="0" hidden="1" customWidth="1"/>
    <col min="6146" max="6146" width="9.42578125" customWidth="1"/>
    <col min="6147" max="6147" width="10.42578125" customWidth="1"/>
    <col min="6148" max="6148" width="10.7109375" customWidth="1"/>
    <col min="6150" max="6150" width="9.42578125" customWidth="1"/>
    <col min="6151" max="6151" width="13" customWidth="1"/>
    <col min="6152" max="6152" width="12" customWidth="1"/>
    <col min="6153" max="6153" width="13.42578125" customWidth="1"/>
    <col min="6154" max="6154" width="16" customWidth="1"/>
    <col min="6155" max="6155" width="9.7109375" bestFit="1" customWidth="1"/>
    <col min="6156" max="6156" width="9.7109375" customWidth="1"/>
    <col min="6160" max="6160" width="10.85546875" bestFit="1" customWidth="1"/>
    <col min="6401" max="6401" width="0" hidden="1" customWidth="1"/>
    <col min="6402" max="6402" width="9.42578125" customWidth="1"/>
    <col min="6403" max="6403" width="10.42578125" customWidth="1"/>
    <col min="6404" max="6404" width="10.7109375" customWidth="1"/>
    <col min="6406" max="6406" width="9.42578125" customWidth="1"/>
    <col min="6407" max="6407" width="13" customWidth="1"/>
    <col min="6408" max="6408" width="12" customWidth="1"/>
    <col min="6409" max="6409" width="13.42578125" customWidth="1"/>
    <col min="6410" max="6410" width="16" customWidth="1"/>
    <col min="6411" max="6411" width="9.7109375" bestFit="1" customWidth="1"/>
    <col min="6412" max="6412" width="9.7109375" customWidth="1"/>
    <col min="6416" max="6416" width="10.85546875" bestFit="1" customWidth="1"/>
    <col min="6657" max="6657" width="0" hidden="1" customWidth="1"/>
    <col min="6658" max="6658" width="9.42578125" customWidth="1"/>
    <col min="6659" max="6659" width="10.42578125" customWidth="1"/>
    <col min="6660" max="6660" width="10.7109375" customWidth="1"/>
    <col min="6662" max="6662" width="9.42578125" customWidth="1"/>
    <col min="6663" max="6663" width="13" customWidth="1"/>
    <col min="6664" max="6664" width="12" customWidth="1"/>
    <col min="6665" max="6665" width="13.42578125" customWidth="1"/>
    <col min="6666" max="6666" width="16" customWidth="1"/>
    <col min="6667" max="6667" width="9.7109375" bestFit="1" customWidth="1"/>
    <col min="6668" max="6668" width="9.7109375" customWidth="1"/>
    <col min="6672" max="6672" width="10.85546875" bestFit="1" customWidth="1"/>
    <col min="6913" max="6913" width="0" hidden="1" customWidth="1"/>
    <col min="6914" max="6914" width="9.42578125" customWidth="1"/>
    <col min="6915" max="6915" width="10.42578125" customWidth="1"/>
    <col min="6916" max="6916" width="10.7109375" customWidth="1"/>
    <col min="6918" max="6918" width="9.42578125" customWidth="1"/>
    <col min="6919" max="6919" width="13" customWidth="1"/>
    <col min="6920" max="6920" width="12" customWidth="1"/>
    <col min="6921" max="6921" width="13.42578125" customWidth="1"/>
    <col min="6922" max="6922" width="16" customWidth="1"/>
    <col min="6923" max="6923" width="9.7109375" bestFit="1" customWidth="1"/>
    <col min="6924" max="6924" width="9.7109375" customWidth="1"/>
    <col min="6928" max="6928" width="10.85546875" bestFit="1" customWidth="1"/>
    <col min="7169" max="7169" width="0" hidden="1" customWidth="1"/>
    <col min="7170" max="7170" width="9.42578125" customWidth="1"/>
    <col min="7171" max="7171" width="10.42578125" customWidth="1"/>
    <col min="7172" max="7172" width="10.7109375" customWidth="1"/>
    <col min="7174" max="7174" width="9.42578125" customWidth="1"/>
    <col min="7175" max="7175" width="13" customWidth="1"/>
    <col min="7176" max="7176" width="12" customWidth="1"/>
    <col min="7177" max="7177" width="13.42578125" customWidth="1"/>
    <col min="7178" max="7178" width="16" customWidth="1"/>
    <col min="7179" max="7179" width="9.7109375" bestFit="1" customWidth="1"/>
    <col min="7180" max="7180" width="9.7109375" customWidth="1"/>
    <col min="7184" max="7184" width="10.85546875" bestFit="1" customWidth="1"/>
    <col min="7425" max="7425" width="0" hidden="1" customWidth="1"/>
    <col min="7426" max="7426" width="9.42578125" customWidth="1"/>
    <col min="7427" max="7427" width="10.42578125" customWidth="1"/>
    <col min="7428" max="7428" width="10.7109375" customWidth="1"/>
    <col min="7430" max="7430" width="9.42578125" customWidth="1"/>
    <col min="7431" max="7431" width="13" customWidth="1"/>
    <col min="7432" max="7432" width="12" customWidth="1"/>
    <col min="7433" max="7433" width="13.42578125" customWidth="1"/>
    <col min="7434" max="7434" width="16" customWidth="1"/>
    <col min="7435" max="7435" width="9.7109375" bestFit="1" customWidth="1"/>
    <col min="7436" max="7436" width="9.7109375" customWidth="1"/>
    <col min="7440" max="7440" width="10.85546875" bestFit="1" customWidth="1"/>
    <col min="7681" max="7681" width="0" hidden="1" customWidth="1"/>
    <col min="7682" max="7682" width="9.42578125" customWidth="1"/>
    <col min="7683" max="7683" width="10.42578125" customWidth="1"/>
    <col min="7684" max="7684" width="10.7109375" customWidth="1"/>
    <col min="7686" max="7686" width="9.42578125" customWidth="1"/>
    <col min="7687" max="7687" width="13" customWidth="1"/>
    <col min="7688" max="7688" width="12" customWidth="1"/>
    <col min="7689" max="7689" width="13.42578125" customWidth="1"/>
    <col min="7690" max="7690" width="16" customWidth="1"/>
    <col min="7691" max="7691" width="9.7109375" bestFit="1" customWidth="1"/>
    <col min="7692" max="7692" width="9.7109375" customWidth="1"/>
    <col min="7696" max="7696" width="10.85546875" bestFit="1" customWidth="1"/>
    <col min="7937" max="7937" width="0" hidden="1" customWidth="1"/>
    <col min="7938" max="7938" width="9.42578125" customWidth="1"/>
    <col min="7939" max="7939" width="10.42578125" customWidth="1"/>
    <col min="7940" max="7940" width="10.7109375" customWidth="1"/>
    <col min="7942" max="7942" width="9.42578125" customWidth="1"/>
    <col min="7943" max="7943" width="13" customWidth="1"/>
    <col min="7944" max="7944" width="12" customWidth="1"/>
    <col min="7945" max="7945" width="13.42578125" customWidth="1"/>
    <col min="7946" max="7946" width="16" customWidth="1"/>
    <col min="7947" max="7947" width="9.7109375" bestFit="1" customWidth="1"/>
    <col min="7948" max="7948" width="9.7109375" customWidth="1"/>
    <col min="7952" max="7952" width="10.85546875" bestFit="1" customWidth="1"/>
    <col min="8193" max="8193" width="0" hidden="1" customWidth="1"/>
    <col min="8194" max="8194" width="9.42578125" customWidth="1"/>
    <col min="8195" max="8195" width="10.42578125" customWidth="1"/>
    <col min="8196" max="8196" width="10.7109375" customWidth="1"/>
    <col min="8198" max="8198" width="9.42578125" customWidth="1"/>
    <col min="8199" max="8199" width="13" customWidth="1"/>
    <col min="8200" max="8200" width="12" customWidth="1"/>
    <col min="8201" max="8201" width="13.42578125" customWidth="1"/>
    <col min="8202" max="8202" width="16" customWidth="1"/>
    <col min="8203" max="8203" width="9.7109375" bestFit="1" customWidth="1"/>
    <col min="8204" max="8204" width="9.7109375" customWidth="1"/>
    <col min="8208" max="8208" width="10.85546875" bestFit="1" customWidth="1"/>
    <col min="8449" max="8449" width="0" hidden="1" customWidth="1"/>
    <col min="8450" max="8450" width="9.42578125" customWidth="1"/>
    <col min="8451" max="8451" width="10.42578125" customWidth="1"/>
    <col min="8452" max="8452" width="10.7109375" customWidth="1"/>
    <col min="8454" max="8454" width="9.42578125" customWidth="1"/>
    <col min="8455" max="8455" width="13" customWidth="1"/>
    <col min="8456" max="8456" width="12" customWidth="1"/>
    <col min="8457" max="8457" width="13.42578125" customWidth="1"/>
    <col min="8458" max="8458" width="16" customWidth="1"/>
    <col min="8459" max="8459" width="9.7109375" bestFit="1" customWidth="1"/>
    <col min="8460" max="8460" width="9.7109375" customWidth="1"/>
    <col min="8464" max="8464" width="10.85546875" bestFit="1" customWidth="1"/>
    <col min="8705" max="8705" width="0" hidden="1" customWidth="1"/>
    <col min="8706" max="8706" width="9.42578125" customWidth="1"/>
    <col min="8707" max="8707" width="10.42578125" customWidth="1"/>
    <col min="8708" max="8708" width="10.7109375" customWidth="1"/>
    <col min="8710" max="8710" width="9.42578125" customWidth="1"/>
    <col min="8711" max="8711" width="13" customWidth="1"/>
    <col min="8712" max="8712" width="12" customWidth="1"/>
    <col min="8713" max="8713" width="13.42578125" customWidth="1"/>
    <col min="8714" max="8714" width="16" customWidth="1"/>
    <col min="8715" max="8715" width="9.7109375" bestFit="1" customWidth="1"/>
    <col min="8716" max="8716" width="9.7109375" customWidth="1"/>
    <col min="8720" max="8720" width="10.85546875" bestFit="1" customWidth="1"/>
    <col min="8961" max="8961" width="0" hidden="1" customWidth="1"/>
    <col min="8962" max="8962" width="9.42578125" customWidth="1"/>
    <col min="8963" max="8963" width="10.42578125" customWidth="1"/>
    <col min="8964" max="8964" width="10.7109375" customWidth="1"/>
    <col min="8966" max="8966" width="9.42578125" customWidth="1"/>
    <col min="8967" max="8967" width="13" customWidth="1"/>
    <col min="8968" max="8968" width="12" customWidth="1"/>
    <col min="8969" max="8969" width="13.42578125" customWidth="1"/>
    <col min="8970" max="8970" width="16" customWidth="1"/>
    <col min="8971" max="8971" width="9.7109375" bestFit="1" customWidth="1"/>
    <col min="8972" max="8972" width="9.7109375" customWidth="1"/>
    <col min="8976" max="8976" width="10.85546875" bestFit="1" customWidth="1"/>
    <col min="9217" max="9217" width="0" hidden="1" customWidth="1"/>
    <col min="9218" max="9218" width="9.42578125" customWidth="1"/>
    <col min="9219" max="9219" width="10.42578125" customWidth="1"/>
    <col min="9220" max="9220" width="10.7109375" customWidth="1"/>
    <col min="9222" max="9222" width="9.42578125" customWidth="1"/>
    <col min="9223" max="9223" width="13" customWidth="1"/>
    <col min="9224" max="9224" width="12" customWidth="1"/>
    <col min="9225" max="9225" width="13.42578125" customWidth="1"/>
    <col min="9226" max="9226" width="16" customWidth="1"/>
    <col min="9227" max="9227" width="9.7109375" bestFit="1" customWidth="1"/>
    <col min="9228" max="9228" width="9.7109375" customWidth="1"/>
    <col min="9232" max="9232" width="10.85546875" bestFit="1" customWidth="1"/>
    <col min="9473" max="9473" width="0" hidden="1" customWidth="1"/>
    <col min="9474" max="9474" width="9.42578125" customWidth="1"/>
    <col min="9475" max="9475" width="10.42578125" customWidth="1"/>
    <col min="9476" max="9476" width="10.7109375" customWidth="1"/>
    <col min="9478" max="9478" width="9.42578125" customWidth="1"/>
    <col min="9479" max="9479" width="13" customWidth="1"/>
    <col min="9480" max="9480" width="12" customWidth="1"/>
    <col min="9481" max="9481" width="13.42578125" customWidth="1"/>
    <col min="9482" max="9482" width="16" customWidth="1"/>
    <col min="9483" max="9483" width="9.7109375" bestFit="1" customWidth="1"/>
    <col min="9484" max="9484" width="9.7109375" customWidth="1"/>
    <col min="9488" max="9488" width="10.85546875" bestFit="1" customWidth="1"/>
    <col min="9729" max="9729" width="0" hidden="1" customWidth="1"/>
    <col min="9730" max="9730" width="9.42578125" customWidth="1"/>
    <col min="9731" max="9731" width="10.42578125" customWidth="1"/>
    <col min="9732" max="9732" width="10.7109375" customWidth="1"/>
    <col min="9734" max="9734" width="9.42578125" customWidth="1"/>
    <col min="9735" max="9735" width="13" customWidth="1"/>
    <col min="9736" max="9736" width="12" customWidth="1"/>
    <col min="9737" max="9737" width="13.42578125" customWidth="1"/>
    <col min="9738" max="9738" width="16" customWidth="1"/>
    <col min="9739" max="9739" width="9.7109375" bestFit="1" customWidth="1"/>
    <col min="9740" max="9740" width="9.7109375" customWidth="1"/>
    <col min="9744" max="9744" width="10.85546875" bestFit="1" customWidth="1"/>
    <col min="9985" max="9985" width="0" hidden="1" customWidth="1"/>
    <col min="9986" max="9986" width="9.42578125" customWidth="1"/>
    <col min="9987" max="9987" width="10.42578125" customWidth="1"/>
    <col min="9988" max="9988" width="10.7109375" customWidth="1"/>
    <col min="9990" max="9990" width="9.42578125" customWidth="1"/>
    <col min="9991" max="9991" width="13" customWidth="1"/>
    <col min="9992" max="9992" width="12" customWidth="1"/>
    <col min="9993" max="9993" width="13.42578125" customWidth="1"/>
    <col min="9994" max="9994" width="16" customWidth="1"/>
    <col min="9995" max="9995" width="9.7109375" bestFit="1" customWidth="1"/>
    <col min="9996" max="9996" width="9.7109375" customWidth="1"/>
    <col min="10000" max="10000" width="10.85546875" bestFit="1" customWidth="1"/>
    <col min="10241" max="10241" width="0" hidden="1" customWidth="1"/>
    <col min="10242" max="10242" width="9.42578125" customWidth="1"/>
    <col min="10243" max="10243" width="10.42578125" customWidth="1"/>
    <col min="10244" max="10244" width="10.7109375" customWidth="1"/>
    <col min="10246" max="10246" width="9.42578125" customWidth="1"/>
    <col min="10247" max="10247" width="13" customWidth="1"/>
    <col min="10248" max="10248" width="12" customWidth="1"/>
    <col min="10249" max="10249" width="13.42578125" customWidth="1"/>
    <col min="10250" max="10250" width="16" customWidth="1"/>
    <col min="10251" max="10251" width="9.7109375" bestFit="1" customWidth="1"/>
    <col min="10252" max="10252" width="9.7109375" customWidth="1"/>
    <col min="10256" max="10256" width="10.85546875" bestFit="1" customWidth="1"/>
    <col min="10497" max="10497" width="0" hidden="1" customWidth="1"/>
    <col min="10498" max="10498" width="9.42578125" customWidth="1"/>
    <col min="10499" max="10499" width="10.42578125" customWidth="1"/>
    <col min="10500" max="10500" width="10.7109375" customWidth="1"/>
    <col min="10502" max="10502" width="9.42578125" customWidth="1"/>
    <col min="10503" max="10503" width="13" customWidth="1"/>
    <col min="10504" max="10504" width="12" customWidth="1"/>
    <col min="10505" max="10505" width="13.42578125" customWidth="1"/>
    <col min="10506" max="10506" width="16" customWidth="1"/>
    <col min="10507" max="10507" width="9.7109375" bestFit="1" customWidth="1"/>
    <col min="10508" max="10508" width="9.7109375" customWidth="1"/>
    <col min="10512" max="10512" width="10.85546875" bestFit="1" customWidth="1"/>
    <col min="10753" max="10753" width="0" hidden="1" customWidth="1"/>
    <col min="10754" max="10754" width="9.42578125" customWidth="1"/>
    <col min="10755" max="10755" width="10.42578125" customWidth="1"/>
    <col min="10756" max="10756" width="10.7109375" customWidth="1"/>
    <col min="10758" max="10758" width="9.42578125" customWidth="1"/>
    <col min="10759" max="10759" width="13" customWidth="1"/>
    <col min="10760" max="10760" width="12" customWidth="1"/>
    <col min="10761" max="10761" width="13.42578125" customWidth="1"/>
    <col min="10762" max="10762" width="16" customWidth="1"/>
    <col min="10763" max="10763" width="9.7109375" bestFit="1" customWidth="1"/>
    <col min="10764" max="10764" width="9.7109375" customWidth="1"/>
    <col min="10768" max="10768" width="10.85546875" bestFit="1" customWidth="1"/>
    <col min="11009" max="11009" width="0" hidden="1" customWidth="1"/>
    <col min="11010" max="11010" width="9.42578125" customWidth="1"/>
    <col min="11011" max="11011" width="10.42578125" customWidth="1"/>
    <col min="11012" max="11012" width="10.7109375" customWidth="1"/>
    <col min="11014" max="11014" width="9.42578125" customWidth="1"/>
    <col min="11015" max="11015" width="13" customWidth="1"/>
    <col min="11016" max="11016" width="12" customWidth="1"/>
    <col min="11017" max="11017" width="13.42578125" customWidth="1"/>
    <col min="11018" max="11018" width="16" customWidth="1"/>
    <col min="11019" max="11019" width="9.7109375" bestFit="1" customWidth="1"/>
    <col min="11020" max="11020" width="9.7109375" customWidth="1"/>
    <col min="11024" max="11024" width="10.85546875" bestFit="1" customWidth="1"/>
    <col min="11265" max="11265" width="0" hidden="1" customWidth="1"/>
    <col min="11266" max="11266" width="9.42578125" customWidth="1"/>
    <col min="11267" max="11267" width="10.42578125" customWidth="1"/>
    <col min="11268" max="11268" width="10.7109375" customWidth="1"/>
    <col min="11270" max="11270" width="9.42578125" customWidth="1"/>
    <col min="11271" max="11271" width="13" customWidth="1"/>
    <col min="11272" max="11272" width="12" customWidth="1"/>
    <col min="11273" max="11273" width="13.42578125" customWidth="1"/>
    <col min="11274" max="11274" width="16" customWidth="1"/>
    <col min="11275" max="11275" width="9.7109375" bestFit="1" customWidth="1"/>
    <col min="11276" max="11276" width="9.7109375" customWidth="1"/>
    <col min="11280" max="11280" width="10.85546875" bestFit="1" customWidth="1"/>
    <col min="11521" max="11521" width="0" hidden="1" customWidth="1"/>
    <col min="11522" max="11522" width="9.42578125" customWidth="1"/>
    <col min="11523" max="11523" width="10.42578125" customWidth="1"/>
    <col min="11524" max="11524" width="10.7109375" customWidth="1"/>
    <col min="11526" max="11526" width="9.42578125" customWidth="1"/>
    <col min="11527" max="11527" width="13" customWidth="1"/>
    <col min="11528" max="11528" width="12" customWidth="1"/>
    <col min="11529" max="11529" width="13.42578125" customWidth="1"/>
    <col min="11530" max="11530" width="16" customWidth="1"/>
    <col min="11531" max="11531" width="9.7109375" bestFit="1" customWidth="1"/>
    <col min="11532" max="11532" width="9.7109375" customWidth="1"/>
    <col min="11536" max="11536" width="10.85546875" bestFit="1" customWidth="1"/>
    <col min="11777" max="11777" width="0" hidden="1" customWidth="1"/>
    <col min="11778" max="11778" width="9.42578125" customWidth="1"/>
    <col min="11779" max="11779" width="10.42578125" customWidth="1"/>
    <col min="11780" max="11780" width="10.7109375" customWidth="1"/>
    <col min="11782" max="11782" width="9.42578125" customWidth="1"/>
    <col min="11783" max="11783" width="13" customWidth="1"/>
    <col min="11784" max="11784" width="12" customWidth="1"/>
    <col min="11785" max="11785" width="13.42578125" customWidth="1"/>
    <col min="11786" max="11786" width="16" customWidth="1"/>
    <col min="11787" max="11787" width="9.7109375" bestFit="1" customWidth="1"/>
    <col min="11788" max="11788" width="9.7109375" customWidth="1"/>
    <col min="11792" max="11792" width="10.85546875" bestFit="1" customWidth="1"/>
    <col min="12033" max="12033" width="0" hidden="1" customWidth="1"/>
    <col min="12034" max="12034" width="9.42578125" customWidth="1"/>
    <col min="12035" max="12035" width="10.42578125" customWidth="1"/>
    <col min="12036" max="12036" width="10.7109375" customWidth="1"/>
    <col min="12038" max="12038" width="9.42578125" customWidth="1"/>
    <col min="12039" max="12039" width="13" customWidth="1"/>
    <col min="12040" max="12040" width="12" customWidth="1"/>
    <col min="12041" max="12041" width="13.42578125" customWidth="1"/>
    <col min="12042" max="12042" width="16" customWidth="1"/>
    <col min="12043" max="12043" width="9.7109375" bestFit="1" customWidth="1"/>
    <col min="12044" max="12044" width="9.7109375" customWidth="1"/>
    <col min="12048" max="12048" width="10.85546875" bestFit="1" customWidth="1"/>
    <col min="12289" max="12289" width="0" hidden="1" customWidth="1"/>
    <col min="12290" max="12290" width="9.42578125" customWidth="1"/>
    <col min="12291" max="12291" width="10.42578125" customWidth="1"/>
    <col min="12292" max="12292" width="10.7109375" customWidth="1"/>
    <col min="12294" max="12294" width="9.42578125" customWidth="1"/>
    <col min="12295" max="12295" width="13" customWidth="1"/>
    <col min="12296" max="12296" width="12" customWidth="1"/>
    <col min="12297" max="12297" width="13.42578125" customWidth="1"/>
    <col min="12298" max="12298" width="16" customWidth="1"/>
    <col min="12299" max="12299" width="9.7109375" bestFit="1" customWidth="1"/>
    <col min="12300" max="12300" width="9.7109375" customWidth="1"/>
    <col min="12304" max="12304" width="10.85546875" bestFit="1" customWidth="1"/>
    <col min="12545" max="12545" width="0" hidden="1" customWidth="1"/>
    <col min="12546" max="12546" width="9.42578125" customWidth="1"/>
    <col min="12547" max="12547" width="10.42578125" customWidth="1"/>
    <col min="12548" max="12548" width="10.7109375" customWidth="1"/>
    <col min="12550" max="12550" width="9.42578125" customWidth="1"/>
    <col min="12551" max="12551" width="13" customWidth="1"/>
    <col min="12552" max="12552" width="12" customWidth="1"/>
    <col min="12553" max="12553" width="13.42578125" customWidth="1"/>
    <col min="12554" max="12554" width="16" customWidth="1"/>
    <col min="12555" max="12555" width="9.7109375" bestFit="1" customWidth="1"/>
    <col min="12556" max="12556" width="9.7109375" customWidth="1"/>
    <col min="12560" max="12560" width="10.85546875" bestFit="1" customWidth="1"/>
    <col min="12801" max="12801" width="0" hidden="1" customWidth="1"/>
    <col min="12802" max="12802" width="9.42578125" customWidth="1"/>
    <col min="12803" max="12803" width="10.42578125" customWidth="1"/>
    <col min="12804" max="12804" width="10.7109375" customWidth="1"/>
    <col min="12806" max="12806" width="9.42578125" customWidth="1"/>
    <col min="12807" max="12807" width="13" customWidth="1"/>
    <col min="12808" max="12808" width="12" customWidth="1"/>
    <col min="12809" max="12809" width="13.42578125" customWidth="1"/>
    <col min="12810" max="12810" width="16" customWidth="1"/>
    <col min="12811" max="12811" width="9.7109375" bestFit="1" customWidth="1"/>
    <col min="12812" max="12812" width="9.7109375" customWidth="1"/>
    <col min="12816" max="12816" width="10.85546875" bestFit="1" customWidth="1"/>
    <col min="13057" max="13057" width="0" hidden="1" customWidth="1"/>
    <col min="13058" max="13058" width="9.42578125" customWidth="1"/>
    <col min="13059" max="13059" width="10.42578125" customWidth="1"/>
    <col min="13060" max="13060" width="10.7109375" customWidth="1"/>
    <col min="13062" max="13062" width="9.42578125" customWidth="1"/>
    <col min="13063" max="13063" width="13" customWidth="1"/>
    <col min="13064" max="13064" width="12" customWidth="1"/>
    <col min="13065" max="13065" width="13.42578125" customWidth="1"/>
    <col min="13066" max="13066" width="16" customWidth="1"/>
    <col min="13067" max="13067" width="9.7109375" bestFit="1" customWidth="1"/>
    <col min="13068" max="13068" width="9.7109375" customWidth="1"/>
    <col min="13072" max="13072" width="10.85546875" bestFit="1" customWidth="1"/>
    <col min="13313" max="13313" width="0" hidden="1" customWidth="1"/>
    <col min="13314" max="13314" width="9.42578125" customWidth="1"/>
    <col min="13315" max="13315" width="10.42578125" customWidth="1"/>
    <col min="13316" max="13316" width="10.7109375" customWidth="1"/>
    <col min="13318" max="13318" width="9.42578125" customWidth="1"/>
    <col min="13319" max="13319" width="13" customWidth="1"/>
    <col min="13320" max="13320" width="12" customWidth="1"/>
    <col min="13321" max="13321" width="13.42578125" customWidth="1"/>
    <col min="13322" max="13322" width="16" customWidth="1"/>
    <col min="13323" max="13323" width="9.7109375" bestFit="1" customWidth="1"/>
    <col min="13324" max="13324" width="9.7109375" customWidth="1"/>
    <col min="13328" max="13328" width="10.85546875" bestFit="1" customWidth="1"/>
    <col min="13569" max="13569" width="0" hidden="1" customWidth="1"/>
    <col min="13570" max="13570" width="9.42578125" customWidth="1"/>
    <col min="13571" max="13571" width="10.42578125" customWidth="1"/>
    <col min="13572" max="13572" width="10.7109375" customWidth="1"/>
    <col min="13574" max="13574" width="9.42578125" customWidth="1"/>
    <col min="13575" max="13575" width="13" customWidth="1"/>
    <col min="13576" max="13576" width="12" customWidth="1"/>
    <col min="13577" max="13577" width="13.42578125" customWidth="1"/>
    <col min="13578" max="13578" width="16" customWidth="1"/>
    <col min="13579" max="13579" width="9.7109375" bestFit="1" customWidth="1"/>
    <col min="13580" max="13580" width="9.7109375" customWidth="1"/>
    <col min="13584" max="13584" width="10.85546875" bestFit="1" customWidth="1"/>
    <col min="13825" max="13825" width="0" hidden="1" customWidth="1"/>
    <col min="13826" max="13826" width="9.42578125" customWidth="1"/>
    <col min="13827" max="13827" width="10.42578125" customWidth="1"/>
    <col min="13828" max="13828" width="10.7109375" customWidth="1"/>
    <col min="13830" max="13830" width="9.42578125" customWidth="1"/>
    <col min="13831" max="13831" width="13" customWidth="1"/>
    <col min="13832" max="13832" width="12" customWidth="1"/>
    <col min="13833" max="13833" width="13.42578125" customWidth="1"/>
    <col min="13834" max="13834" width="16" customWidth="1"/>
    <col min="13835" max="13835" width="9.7109375" bestFit="1" customWidth="1"/>
    <col min="13836" max="13836" width="9.7109375" customWidth="1"/>
    <col min="13840" max="13840" width="10.85546875" bestFit="1" customWidth="1"/>
    <col min="14081" max="14081" width="0" hidden="1" customWidth="1"/>
    <col min="14082" max="14082" width="9.42578125" customWidth="1"/>
    <col min="14083" max="14083" width="10.42578125" customWidth="1"/>
    <col min="14084" max="14084" width="10.7109375" customWidth="1"/>
    <col min="14086" max="14086" width="9.42578125" customWidth="1"/>
    <col min="14087" max="14087" width="13" customWidth="1"/>
    <col min="14088" max="14088" width="12" customWidth="1"/>
    <col min="14089" max="14089" width="13.42578125" customWidth="1"/>
    <col min="14090" max="14090" width="16" customWidth="1"/>
    <col min="14091" max="14091" width="9.7109375" bestFit="1" customWidth="1"/>
    <col min="14092" max="14092" width="9.7109375" customWidth="1"/>
    <col min="14096" max="14096" width="10.85546875" bestFit="1" customWidth="1"/>
    <col min="14337" max="14337" width="0" hidden="1" customWidth="1"/>
    <col min="14338" max="14338" width="9.42578125" customWidth="1"/>
    <col min="14339" max="14339" width="10.42578125" customWidth="1"/>
    <col min="14340" max="14340" width="10.7109375" customWidth="1"/>
    <col min="14342" max="14342" width="9.42578125" customWidth="1"/>
    <col min="14343" max="14343" width="13" customWidth="1"/>
    <col min="14344" max="14344" width="12" customWidth="1"/>
    <col min="14345" max="14345" width="13.42578125" customWidth="1"/>
    <col min="14346" max="14346" width="16" customWidth="1"/>
    <col min="14347" max="14347" width="9.7109375" bestFit="1" customWidth="1"/>
    <col min="14348" max="14348" width="9.7109375" customWidth="1"/>
    <col min="14352" max="14352" width="10.85546875" bestFit="1" customWidth="1"/>
    <col min="14593" max="14593" width="0" hidden="1" customWidth="1"/>
    <col min="14594" max="14594" width="9.42578125" customWidth="1"/>
    <col min="14595" max="14595" width="10.42578125" customWidth="1"/>
    <col min="14596" max="14596" width="10.7109375" customWidth="1"/>
    <col min="14598" max="14598" width="9.42578125" customWidth="1"/>
    <col min="14599" max="14599" width="13" customWidth="1"/>
    <col min="14600" max="14600" width="12" customWidth="1"/>
    <col min="14601" max="14601" width="13.42578125" customWidth="1"/>
    <col min="14602" max="14602" width="16" customWidth="1"/>
    <col min="14603" max="14603" width="9.7109375" bestFit="1" customWidth="1"/>
    <col min="14604" max="14604" width="9.7109375" customWidth="1"/>
    <col min="14608" max="14608" width="10.85546875" bestFit="1" customWidth="1"/>
    <col min="14849" max="14849" width="0" hidden="1" customWidth="1"/>
    <col min="14850" max="14850" width="9.42578125" customWidth="1"/>
    <col min="14851" max="14851" width="10.42578125" customWidth="1"/>
    <col min="14852" max="14852" width="10.7109375" customWidth="1"/>
    <col min="14854" max="14854" width="9.42578125" customWidth="1"/>
    <col min="14855" max="14855" width="13" customWidth="1"/>
    <col min="14856" max="14856" width="12" customWidth="1"/>
    <col min="14857" max="14857" width="13.42578125" customWidth="1"/>
    <col min="14858" max="14858" width="16" customWidth="1"/>
    <col min="14859" max="14859" width="9.7109375" bestFit="1" customWidth="1"/>
    <col min="14860" max="14860" width="9.7109375" customWidth="1"/>
    <col min="14864" max="14864" width="10.85546875" bestFit="1" customWidth="1"/>
    <col min="15105" max="15105" width="0" hidden="1" customWidth="1"/>
    <col min="15106" max="15106" width="9.42578125" customWidth="1"/>
    <col min="15107" max="15107" width="10.42578125" customWidth="1"/>
    <col min="15108" max="15108" width="10.7109375" customWidth="1"/>
    <col min="15110" max="15110" width="9.42578125" customWidth="1"/>
    <col min="15111" max="15111" width="13" customWidth="1"/>
    <col min="15112" max="15112" width="12" customWidth="1"/>
    <col min="15113" max="15113" width="13.42578125" customWidth="1"/>
    <col min="15114" max="15114" width="16" customWidth="1"/>
    <col min="15115" max="15115" width="9.7109375" bestFit="1" customWidth="1"/>
    <col min="15116" max="15116" width="9.7109375" customWidth="1"/>
    <col min="15120" max="15120" width="10.85546875" bestFit="1" customWidth="1"/>
    <col min="15361" max="15361" width="0" hidden="1" customWidth="1"/>
    <col min="15362" max="15362" width="9.42578125" customWidth="1"/>
    <col min="15363" max="15363" width="10.42578125" customWidth="1"/>
    <col min="15364" max="15364" width="10.7109375" customWidth="1"/>
    <col min="15366" max="15366" width="9.42578125" customWidth="1"/>
    <col min="15367" max="15367" width="13" customWidth="1"/>
    <col min="15368" max="15368" width="12" customWidth="1"/>
    <col min="15369" max="15369" width="13.42578125" customWidth="1"/>
    <col min="15370" max="15370" width="16" customWidth="1"/>
    <col min="15371" max="15371" width="9.7109375" bestFit="1" customWidth="1"/>
    <col min="15372" max="15372" width="9.7109375" customWidth="1"/>
    <col min="15376" max="15376" width="10.85546875" bestFit="1" customWidth="1"/>
    <col min="15617" max="15617" width="0" hidden="1" customWidth="1"/>
    <col min="15618" max="15618" width="9.42578125" customWidth="1"/>
    <col min="15619" max="15619" width="10.42578125" customWidth="1"/>
    <col min="15620" max="15620" width="10.7109375" customWidth="1"/>
    <col min="15622" max="15622" width="9.42578125" customWidth="1"/>
    <col min="15623" max="15623" width="13" customWidth="1"/>
    <col min="15624" max="15624" width="12" customWidth="1"/>
    <col min="15625" max="15625" width="13.42578125" customWidth="1"/>
    <col min="15626" max="15626" width="16" customWidth="1"/>
    <col min="15627" max="15627" width="9.7109375" bestFit="1" customWidth="1"/>
    <col min="15628" max="15628" width="9.7109375" customWidth="1"/>
    <col min="15632" max="15632" width="10.85546875" bestFit="1" customWidth="1"/>
    <col min="15873" max="15873" width="0" hidden="1" customWidth="1"/>
    <col min="15874" max="15874" width="9.42578125" customWidth="1"/>
    <col min="15875" max="15875" width="10.42578125" customWidth="1"/>
    <col min="15876" max="15876" width="10.7109375" customWidth="1"/>
    <col min="15878" max="15878" width="9.42578125" customWidth="1"/>
    <col min="15879" max="15879" width="13" customWidth="1"/>
    <col min="15880" max="15880" width="12" customWidth="1"/>
    <col min="15881" max="15881" width="13.42578125" customWidth="1"/>
    <col min="15882" max="15882" width="16" customWidth="1"/>
    <col min="15883" max="15883" width="9.7109375" bestFit="1" customWidth="1"/>
    <col min="15884" max="15884" width="9.7109375" customWidth="1"/>
    <col min="15888" max="15888" width="10.85546875" bestFit="1" customWidth="1"/>
    <col min="16129" max="16129" width="0" hidden="1" customWidth="1"/>
    <col min="16130" max="16130" width="9.42578125" customWidth="1"/>
    <col min="16131" max="16131" width="10.42578125" customWidth="1"/>
    <col min="16132" max="16132" width="10.7109375" customWidth="1"/>
    <col min="16134" max="16134" width="9.42578125" customWidth="1"/>
    <col min="16135" max="16135" width="13" customWidth="1"/>
    <col min="16136" max="16136" width="12" customWidth="1"/>
    <col min="16137" max="16137" width="13.42578125" customWidth="1"/>
    <col min="16138" max="16138" width="16" customWidth="1"/>
    <col min="16139" max="16139" width="9.7109375" bestFit="1" customWidth="1"/>
    <col min="16140" max="16140" width="9.7109375" customWidth="1"/>
    <col min="16144" max="16144" width="10.85546875" bestFit="1" customWidth="1"/>
  </cols>
  <sheetData>
    <row r="1" spans="2:22" ht="7.5" customHeight="1" x14ac:dyDescent="0.25"/>
    <row r="2" spans="2:22" x14ac:dyDescent="0.25">
      <c r="B2" s="44" t="s">
        <v>153</v>
      </c>
      <c r="C2" s="44"/>
      <c r="D2" s="44"/>
      <c r="E2" s="44"/>
      <c r="F2" s="316" t="s">
        <v>154</v>
      </c>
      <c r="G2" s="316"/>
      <c r="H2" s="316"/>
      <c r="I2" s="316"/>
      <c r="J2" s="85"/>
    </row>
    <row r="3" spans="2:22" ht="17.25" x14ac:dyDescent="0.3">
      <c r="B3" s="86" t="s">
        <v>155</v>
      </c>
      <c r="C3" s="86"/>
      <c r="D3" s="87"/>
      <c r="E3" s="87"/>
      <c r="F3" s="317" t="s">
        <v>156</v>
      </c>
      <c r="G3" s="317"/>
      <c r="H3" s="317"/>
      <c r="I3" s="317"/>
      <c r="J3" s="45"/>
      <c r="K3" s="26" t="s">
        <v>19</v>
      </c>
      <c r="L3" s="26"/>
    </row>
    <row r="4" spans="2:22" ht="15" customHeight="1" x14ac:dyDescent="0.3">
      <c r="B4" s="27"/>
      <c r="C4" s="28"/>
      <c r="D4" s="28"/>
      <c r="E4" s="28"/>
      <c r="F4" s="28"/>
      <c r="G4" s="28"/>
      <c r="H4" s="28"/>
      <c r="I4" s="29"/>
      <c r="K4" s="150" t="s">
        <v>198</v>
      </c>
      <c r="L4" s="31"/>
      <c r="N4" s="31"/>
    </row>
    <row r="5" spans="2:22" ht="18.75" customHeight="1" x14ac:dyDescent="0.3">
      <c r="B5" s="286" t="str">
        <f>"BẢNG TỔNG HỢP ĐIỆN - NƯỚC SINH HOẠT KÝ TÚC XÁ KHU N " &amp; K4</f>
        <v>BẢNG TỔNG HỢP ĐIỆN - NƯỚC SINH HOẠT KÝ TÚC XÁ KHU N 4/2016</v>
      </c>
      <c r="C5" s="286"/>
      <c r="D5" s="286"/>
      <c r="E5" s="286"/>
      <c r="F5" s="286"/>
      <c r="G5" s="286"/>
      <c r="H5" s="286"/>
      <c r="I5" s="286"/>
      <c r="J5" s="32"/>
      <c r="K5" s="26" t="s">
        <v>20</v>
      </c>
      <c r="L5" s="26"/>
    </row>
    <row r="6" spans="2:22" ht="8.25" customHeight="1" x14ac:dyDescent="0.3">
      <c r="B6" s="84"/>
      <c r="C6" s="84"/>
      <c r="D6" s="84"/>
      <c r="E6" s="84"/>
      <c r="F6" s="84"/>
      <c r="G6" s="84"/>
      <c r="H6" s="84"/>
      <c r="I6" s="84"/>
      <c r="J6" s="84"/>
    </row>
    <row r="7" spans="2:22" ht="14.25" customHeight="1" x14ac:dyDescent="0.25">
      <c r="B7" s="318" t="s">
        <v>157</v>
      </c>
      <c r="C7" s="318"/>
      <c r="D7" s="318"/>
      <c r="E7" s="318"/>
      <c r="F7" s="318"/>
      <c r="G7" s="318"/>
      <c r="H7" s="318"/>
      <c r="I7" s="318"/>
      <c r="K7" s="26" t="s">
        <v>21</v>
      </c>
      <c r="L7" s="26"/>
      <c r="N7" s="26" t="s">
        <v>22</v>
      </c>
    </row>
    <row r="8" spans="2:22" ht="18" customHeight="1" x14ac:dyDescent="0.25">
      <c r="B8" s="319" t="s">
        <v>158</v>
      </c>
      <c r="C8" s="319"/>
      <c r="D8" s="319"/>
      <c r="E8" s="319"/>
      <c r="F8" s="319"/>
      <c r="G8" s="319"/>
      <c r="H8" s="319"/>
      <c r="I8" s="319"/>
      <c r="K8" s="33" t="s">
        <v>159</v>
      </c>
      <c r="L8">
        <v>10360</v>
      </c>
      <c r="M8">
        <v>10612</v>
      </c>
      <c r="N8">
        <f>'so nguoi'!N8</f>
        <v>0</v>
      </c>
      <c r="U8">
        <v>74</v>
      </c>
      <c r="V8" s="34">
        <f t="shared" ref="V8:V10" si="0">U8-U7</f>
        <v>74</v>
      </c>
    </row>
    <row r="9" spans="2:22" s="34" customFormat="1" ht="39" customHeight="1" x14ac:dyDescent="0.25">
      <c r="B9" s="35" t="s">
        <v>23</v>
      </c>
      <c r="C9" s="36" t="s">
        <v>24</v>
      </c>
      <c r="D9" s="36" t="s">
        <v>25</v>
      </c>
      <c r="E9" s="35" t="s">
        <v>26</v>
      </c>
      <c r="F9" s="36" t="s">
        <v>160</v>
      </c>
      <c r="G9" s="35" t="s">
        <v>27</v>
      </c>
      <c r="H9" s="35" t="s">
        <v>28</v>
      </c>
      <c r="I9" s="88" t="s">
        <v>29</v>
      </c>
      <c r="K9" s="34" t="s">
        <v>30</v>
      </c>
      <c r="L9" s="34">
        <v>414</v>
      </c>
      <c r="M9" s="34">
        <v>570</v>
      </c>
      <c r="O9" s="34">
        <f>M9-L9</f>
        <v>156</v>
      </c>
      <c r="U9" s="34">
        <v>211</v>
      </c>
      <c r="V9" s="34">
        <f t="shared" si="0"/>
        <v>137</v>
      </c>
    </row>
    <row r="10" spans="2:22" s="146" customFormat="1" ht="25.5" customHeight="1" x14ac:dyDescent="0.3">
      <c r="B10" s="143" t="s">
        <v>176</v>
      </c>
      <c r="C10" s="143"/>
      <c r="D10" s="143"/>
      <c r="E10" s="143"/>
      <c r="F10" s="143"/>
      <c r="G10" s="143"/>
      <c r="H10" s="144"/>
      <c r="I10" s="145" t="e">
        <f>SUM(H11:H12)</f>
        <v>#DIV/0!</v>
      </c>
      <c r="K10" s="147" t="s">
        <v>31</v>
      </c>
      <c r="L10" s="146">
        <v>8733</v>
      </c>
      <c r="M10" s="146">
        <v>8935</v>
      </c>
      <c r="N10" s="146">
        <f>'so nguoi'!N9</f>
        <v>0</v>
      </c>
      <c r="O10" s="148">
        <f t="shared" ref="O10:O22" si="1">M10-L10</f>
        <v>202</v>
      </c>
      <c r="U10" s="146">
        <v>279</v>
      </c>
      <c r="V10" s="148">
        <f t="shared" si="0"/>
        <v>68</v>
      </c>
    </row>
    <row r="11" spans="2:22" s="34" customFormat="1" ht="16.5" x14ac:dyDescent="0.25">
      <c r="B11" s="83" t="s">
        <v>33</v>
      </c>
      <c r="C11" s="39">
        <f>L8</f>
        <v>10360</v>
      </c>
      <c r="D11" s="39">
        <f>M8</f>
        <v>10612</v>
      </c>
      <c r="E11" s="320">
        <f>N8</f>
        <v>0</v>
      </c>
      <c r="F11" s="40">
        <f>SUM(D11-C11)</f>
        <v>252</v>
      </c>
      <c r="G11" s="90">
        <f>F11+0</f>
        <v>252</v>
      </c>
      <c r="H11" s="41">
        <f>G11*2200</f>
        <v>554400</v>
      </c>
      <c r="I11" s="91"/>
      <c r="O11" s="34">
        <f t="shared" si="1"/>
        <v>0</v>
      </c>
      <c r="U11" s="34">
        <v>414</v>
      </c>
      <c r="V11" s="34">
        <f>U11-U10</f>
        <v>135</v>
      </c>
    </row>
    <row r="12" spans="2:22" s="34" customFormat="1" ht="16.5" x14ac:dyDescent="0.25">
      <c r="B12" s="83" t="s">
        <v>7</v>
      </c>
      <c r="C12" s="39">
        <f>L9</f>
        <v>414</v>
      </c>
      <c r="D12" s="39">
        <f>M9</f>
        <v>570</v>
      </c>
      <c r="E12" s="320"/>
      <c r="F12" s="40">
        <f>D12-C12</f>
        <v>156</v>
      </c>
      <c r="G12" s="92" t="e">
        <f>F12/$O$23*E11</f>
        <v>#DIV/0!</v>
      </c>
      <c r="H12" s="41" t="e">
        <f>G12*15000</f>
        <v>#DIV/0!</v>
      </c>
      <c r="I12" s="91"/>
      <c r="K12" s="33" t="s">
        <v>32</v>
      </c>
      <c r="L12" s="34">
        <v>8812</v>
      </c>
      <c r="M12" s="34">
        <v>9016</v>
      </c>
      <c r="N12" s="34">
        <f>'so nguoi'!N10</f>
        <v>0</v>
      </c>
      <c r="O12" s="34">
        <f t="shared" si="1"/>
        <v>204</v>
      </c>
    </row>
    <row r="13" spans="2:22" s="146" customFormat="1" ht="25.5" customHeight="1" x14ac:dyDescent="0.3">
      <c r="B13" s="143" t="s">
        <v>175</v>
      </c>
      <c r="C13" s="143"/>
      <c r="D13" s="143"/>
      <c r="E13" s="143"/>
      <c r="F13" s="143"/>
      <c r="G13" s="143"/>
      <c r="H13" s="144"/>
      <c r="I13" s="145" t="e">
        <f>SUM(H14:H15)</f>
        <v>#DIV/0!</v>
      </c>
      <c r="K13" s="147"/>
      <c r="O13" s="148">
        <f t="shared" si="1"/>
        <v>0</v>
      </c>
      <c r="V13" s="148"/>
    </row>
    <row r="14" spans="2:22" s="97" customFormat="1" ht="18" x14ac:dyDescent="0.25">
      <c r="B14" s="83" t="s">
        <v>33</v>
      </c>
      <c r="C14" s="93">
        <f>L10</f>
        <v>8733</v>
      </c>
      <c r="D14" s="93">
        <f>M10</f>
        <v>8935</v>
      </c>
      <c r="E14" s="321">
        <v>11</v>
      </c>
      <c r="F14" s="40">
        <f>D14-C14</f>
        <v>202</v>
      </c>
      <c r="G14" s="94">
        <f>F14+0</f>
        <v>202</v>
      </c>
      <c r="H14" s="95">
        <f>G14*2200</f>
        <v>444400</v>
      </c>
      <c r="I14" s="96"/>
      <c r="K14" s="33" t="s">
        <v>161</v>
      </c>
      <c r="L14" s="97">
        <v>8278</v>
      </c>
      <c r="M14" s="97">
        <v>8425</v>
      </c>
      <c r="N14" s="97">
        <f>'so nguoi'!N11</f>
        <v>0</v>
      </c>
      <c r="O14" s="34">
        <f t="shared" si="1"/>
        <v>147</v>
      </c>
      <c r="P14" s="98" t="e">
        <f>SUM(H12+H15+H18+H21+H24+H27)</f>
        <v>#DIV/0!</v>
      </c>
    </row>
    <row r="15" spans="2:22" s="97" customFormat="1" ht="18" x14ac:dyDescent="0.25">
      <c r="B15" s="83" t="s">
        <v>7</v>
      </c>
      <c r="C15" s="93">
        <f>L9</f>
        <v>414</v>
      </c>
      <c r="D15" s="93">
        <f>M9</f>
        <v>570</v>
      </c>
      <c r="E15" s="321"/>
      <c r="F15" s="40">
        <f>D15-C15</f>
        <v>156</v>
      </c>
      <c r="G15" s="90" t="e">
        <f>F15/$O$23*E14</f>
        <v>#DIV/0!</v>
      </c>
      <c r="H15" s="95" t="e">
        <f>G15*15000</f>
        <v>#DIV/0!</v>
      </c>
      <c r="I15" s="96"/>
      <c r="K15" s="34"/>
      <c r="O15" s="34">
        <f t="shared" si="1"/>
        <v>0</v>
      </c>
    </row>
    <row r="16" spans="2:22" s="146" customFormat="1" ht="25.5" customHeight="1" x14ac:dyDescent="0.3">
      <c r="B16" s="143" t="s">
        <v>169</v>
      </c>
      <c r="C16" s="143"/>
      <c r="D16" s="143"/>
      <c r="E16" s="143"/>
      <c r="F16" s="143"/>
      <c r="G16" s="143"/>
      <c r="H16" s="144"/>
      <c r="I16" s="145" t="e">
        <f>SUM(H17:H18)</f>
        <v>#DIV/0!</v>
      </c>
      <c r="K16" s="147" t="s">
        <v>162</v>
      </c>
      <c r="L16" s="146">
        <v>8698</v>
      </c>
      <c r="M16" s="146">
        <v>9019</v>
      </c>
      <c r="N16" s="146">
        <f>'so nguoi'!N12</f>
        <v>0</v>
      </c>
      <c r="O16" s="148">
        <f t="shared" si="1"/>
        <v>321</v>
      </c>
      <c r="V16" s="148"/>
    </row>
    <row r="17" spans="2:22" s="34" customFormat="1" ht="16.5" x14ac:dyDescent="0.25">
      <c r="B17" s="83" t="s">
        <v>33</v>
      </c>
      <c r="C17" s="39">
        <f>L12</f>
        <v>8812</v>
      </c>
      <c r="D17" s="39">
        <f>M12</f>
        <v>9016</v>
      </c>
      <c r="E17" s="320">
        <f>N12</f>
        <v>0</v>
      </c>
      <c r="F17" s="40">
        <f>D17-C17</f>
        <v>204</v>
      </c>
      <c r="G17" s="90">
        <f>F17+0</f>
        <v>204</v>
      </c>
      <c r="H17" s="41">
        <f>G17*2200</f>
        <v>448800</v>
      </c>
      <c r="I17" s="42"/>
      <c r="O17" s="34">
        <f t="shared" si="1"/>
        <v>0</v>
      </c>
    </row>
    <row r="18" spans="2:22" s="34" customFormat="1" ht="16.5" x14ac:dyDescent="0.25">
      <c r="B18" s="83" t="s">
        <v>7</v>
      </c>
      <c r="C18" s="39">
        <f>L9</f>
        <v>414</v>
      </c>
      <c r="D18" s="39">
        <f>M9</f>
        <v>570</v>
      </c>
      <c r="E18" s="320"/>
      <c r="F18" s="40">
        <f>D18-C18</f>
        <v>156</v>
      </c>
      <c r="G18" s="90" t="e">
        <f>F18/$O$23*E17</f>
        <v>#DIV/0!</v>
      </c>
      <c r="H18" s="41" t="e">
        <f>G18*15000</f>
        <v>#DIV/0!</v>
      </c>
      <c r="I18" s="42"/>
      <c r="K18" s="33" t="s">
        <v>163</v>
      </c>
      <c r="L18" s="34">
        <v>8257</v>
      </c>
      <c r="M18" s="34">
        <v>8945</v>
      </c>
      <c r="N18" s="34">
        <f>'so nguoi'!N13</f>
        <v>0</v>
      </c>
      <c r="O18" s="34">
        <f t="shared" si="1"/>
        <v>688</v>
      </c>
    </row>
    <row r="19" spans="2:22" s="146" customFormat="1" ht="25.5" customHeight="1" x14ac:dyDescent="0.3">
      <c r="B19" s="143" t="s">
        <v>174</v>
      </c>
      <c r="C19" s="143"/>
      <c r="D19" s="143"/>
      <c r="E19" s="143"/>
      <c r="F19" s="143"/>
      <c r="G19" s="143"/>
      <c r="H19" s="144"/>
      <c r="I19" s="145" t="e">
        <f>SUM(H20:H21)</f>
        <v>#DIV/0!</v>
      </c>
      <c r="K19" s="147"/>
      <c r="O19" s="148">
        <f t="shared" si="1"/>
        <v>0</v>
      </c>
      <c r="V19" s="148"/>
    </row>
    <row r="20" spans="2:22" s="34" customFormat="1" ht="16.5" x14ac:dyDescent="0.25">
      <c r="B20" s="83" t="s">
        <v>6</v>
      </c>
      <c r="C20" s="39">
        <f>L14</f>
        <v>8278</v>
      </c>
      <c r="D20" s="39">
        <f>M14</f>
        <v>8425</v>
      </c>
      <c r="E20" s="320">
        <f>N14</f>
        <v>0</v>
      </c>
      <c r="F20" s="40">
        <f>D20-C20</f>
        <v>147</v>
      </c>
      <c r="G20" s="90">
        <f>F20+0</f>
        <v>147</v>
      </c>
      <c r="H20" s="41">
        <f>G20*2200</f>
        <v>323400</v>
      </c>
      <c r="I20" s="42"/>
      <c r="K20" s="33" t="s">
        <v>164</v>
      </c>
      <c r="N20" s="34">
        <v>0</v>
      </c>
      <c r="O20" s="34">
        <f t="shared" si="1"/>
        <v>0</v>
      </c>
    </row>
    <row r="21" spans="2:22" s="34" customFormat="1" ht="16.5" x14ac:dyDescent="0.25">
      <c r="B21" s="83" t="s">
        <v>7</v>
      </c>
      <c r="C21" s="39">
        <f>L9</f>
        <v>414</v>
      </c>
      <c r="D21" s="39">
        <f>M9</f>
        <v>570</v>
      </c>
      <c r="E21" s="320"/>
      <c r="F21" s="40">
        <f>D21-C21</f>
        <v>156</v>
      </c>
      <c r="G21" s="90" t="e">
        <f>F21/$O$23*E20</f>
        <v>#DIV/0!</v>
      </c>
      <c r="H21" s="41" t="e">
        <f>G21*15000</f>
        <v>#DIV/0!</v>
      </c>
      <c r="I21" s="42"/>
      <c r="O21" s="34">
        <f t="shared" si="1"/>
        <v>0</v>
      </c>
    </row>
    <row r="22" spans="2:22" s="146" customFormat="1" ht="25.5" customHeight="1" x14ac:dyDescent="0.3">
      <c r="B22" s="143" t="s">
        <v>170</v>
      </c>
      <c r="C22" s="143"/>
      <c r="D22" s="143"/>
      <c r="E22" s="143"/>
      <c r="F22" s="143"/>
      <c r="G22" s="143"/>
      <c r="H22" s="144"/>
      <c r="I22" s="145" t="e">
        <f>SUM(H23:H24)</f>
        <v>#DIV/0!</v>
      </c>
      <c r="K22" s="147" t="s">
        <v>165</v>
      </c>
      <c r="N22" s="146">
        <v>0</v>
      </c>
      <c r="O22" s="148">
        <f t="shared" si="1"/>
        <v>0</v>
      </c>
      <c r="V22" s="148"/>
    </row>
    <row r="23" spans="2:22" s="34" customFormat="1" ht="16.5" x14ac:dyDescent="0.25">
      <c r="B23" s="83" t="s">
        <v>33</v>
      </c>
      <c r="C23" s="39">
        <f>L16</f>
        <v>8698</v>
      </c>
      <c r="D23" s="39">
        <f>M16</f>
        <v>9019</v>
      </c>
      <c r="E23" s="314">
        <f>N16</f>
        <v>0</v>
      </c>
      <c r="F23" s="40">
        <f>D23-C23</f>
        <v>321</v>
      </c>
      <c r="G23" s="90">
        <f>F23+0</f>
        <v>321</v>
      </c>
      <c r="H23" s="41">
        <f>G23*2200</f>
        <v>706200</v>
      </c>
      <c r="I23" s="42"/>
      <c r="K23" s="33"/>
      <c r="O23" s="99">
        <f>SUM(N8:N22)</f>
        <v>0</v>
      </c>
    </row>
    <row r="24" spans="2:22" s="34" customFormat="1" ht="16.5" x14ac:dyDescent="0.25">
      <c r="B24" s="83" t="s">
        <v>7</v>
      </c>
      <c r="C24" s="39">
        <f>L9</f>
        <v>414</v>
      </c>
      <c r="D24" s="39">
        <f>M9</f>
        <v>570</v>
      </c>
      <c r="E24" s="315"/>
      <c r="F24" s="40">
        <f>D24-C24</f>
        <v>156</v>
      </c>
      <c r="G24" s="90" t="e">
        <f>F24/$O$23*E23</f>
        <v>#DIV/0!</v>
      </c>
      <c r="H24" s="41" t="e">
        <f>G24*15000</f>
        <v>#DIV/0!</v>
      </c>
      <c r="I24" s="42"/>
    </row>
    <row r="25" spans="2:22" s="146" customFormat="1" ht="25.5" customHeight="1" x14ac:dyDescent="0.3">
      <c r="B25" s="143" t="s">
        <v>171</v>
      </c>
      <c r="C25" s="143"/>
      <c r="D25" s="143"/>
      <c r="E25" s="143"/>
      <c r="F25" s="143"/>
      <c r="G25" s="143"/>
      <c r="H25" s="144"/>
      <c r="I25" s="145" t="e">
        <f>SUM(H26:H27)</f>
        <v>#DIV/0!</v>
      </c>
      <c r="K25" s="147"/>
      <c r="O25" s="148"/>
      <c r="V25" s="148"/>
    </row>
    <row r="26" spans="2:22" s="34" customFormat="1" ht="16.5" x14ac:dyDescent="0.25">
      <c r="B26" s="83" t="s">
        <v>33</v>
      </c>
      <c r="C26" s="39">
        <f>L18</f>
        <v>8257</v>
      </c>
      <c r="D26" s="39">
        <v>8495</v>
      </c>
      <c r="E26" s="320">
        <v>10</v>
      </c>
      <c r="F26" s="40">
        <f>D26-C26</f>
        <v>238</v>
      </c>
      <c r="G26" s="90">
        <f>F26+0</f>
        <v>238</v>
      </c>
      <c r="H26" s="41">
        <f>G26*2200</f>
        <v>523600</v>
      </c>
      <c r="I26" s="42"/>
    </row>
    <row r="27" spans="2:22" s="34" customFormat="1" ht="16.5" x14ac:dyDescent="0.25">
      <c r="B27" s="83" t="s">
        <v>7</v>
      </c>
      <c r="C27" s="39">
        <f>L9</f>
        <v>414</v>
      </c>
      <c r="D27" s="39">
        <f>M9</f>
        <v>570</v>
      </c>
      <c r="E27" s="320"/>
      <c r="F27" s="40">
        <f>D27-C27</f>
        <v>156</v>
      </c>
      <c r="G27" s="90" t="e">
        <f>F27/$O$23*E26</f>
        <v>#DIV/0!</v>
      </c>
      <c r="H27" s="41" t="e">
        <f>G27*15000</f>
        <v>#DIV/0!</v>
      </c>
      <c r="I27" s="42"/>
    </row>
    <row r="28" spans="2:22" s="43" customFormat="1" ht="48" hidden="1" customHeight="1" x14ac:dyDescent="0.25">
      <c r="B28" s="37" t="s">
        <v>172</v>
      </c>
      <c r="C28" s="38"/>
      <c r="D28" s="38"/>
      <c r="E28" s="38"/>
      <c r="F28" s="40"/>
      <c r="G28" s="38"/>
      <c r="H28" s="38"/>
      <c r="I28" s="89" t="e">
        <f>SUM(H29:H30)</f>
        <v>#DIV/0!</v>
      </c>
    </row>
    <row r="29" spans="2:22" s="34" customFormat="1" ht="32.1" hidden="1" customHeight="1" x14ac:dyDescent="0.25">
      <c r="B29" s="83" t="s">
        <v>33</v>
      </c>
      <c r="C29" s="39">
        <f>L20</f>
        <v>0</v>
      </c>
      <c r="D29" s="39">
        <f>M20</f>
        <v>0</v>
      </c>
      <c r="E29" s="314">
        <f>N20</f>
        <v>0</v>
      </c>
      <c r="F29" s="40">
        <f>D29-C29</f>
        <v>0</v>
      </c>
      <c r="G29" s="40">
        <f>F29+0</f>
        <v>0</v>
      </c>
      <c r="H29" s="41">
        <f>G29*2000</f>
        <v>0</v>
      </c>
      <c r="I29" s="42"/>
    </row>
    <row r="30" spans="2:22" s="34" customFormat="1" ht="32.1" hidden="1" customHeight="1" x14ac:dyDescent="0.25">
      <c r="B30" s="83" t="s">
        <v>7</v>
      </c>
      <c r="C30" s="39">
        <f>L9</f>
        <v>414</v>
      </c>
      <c r="D30" s="39">
        <f>M9</f>
        <v>570</v>
      </c>
      <c r="E30" s="315"/>
      <c r="F30" s="40">
        <f>D30-C30</f>
        <v>156</v>
      </c>
      <c r="G30" s="40" t="e">
        <f>F30/$O$23*E29</f>
        <v>#DIV/0!</v>
      </c>
      <c r="H30" s="41" t="e">
        <f>G30*9500</f>
        <v>#DIV/0!</v>
      </c>
      <c r="I30" s="42"/>
    </row>
    <row r="31" spans="2:22" s="43" customFormat="1" ht="48" hidden="1" customHeight="1" x14ac:dyDescent="0.25">
      <c r="B31" s="37" t="s">
        <v>173</v>
      </c>
      <c r="C31" s="38"/>
      <c r="D31" s="38"/>
      <c r="E31" s="38"/>
      <c r="F31" s="40"/>
      <c r="G31" s="38"/>
      <c r="H31" s="38"/>
      <c r="I31" s="89" t="e">
        <f>SUM(H32:H33)</f>
        <v>#DIV/0!</v>
      </c>
    </row>
    <row r="32" spans="2:22" s="34" customFormat="1" ht="32.1" hidden="1" customHeight="1" x14ac:dyDescent="0.25">
      <c r="B32" s="83" t="s">
        <v>33</v>
      </c>
      <c r="C32" s="39">
        <f>L22</f>
        <v>0</v>
      </c>
      <c r="D32" s="39">
        <f>M22</f>
        <v>0</v>
      </c>
      <c r="E32" s="314">
        <f>N22</f>
        <v>0</v>
      </c>
      <c r="F32" s="40">
        <f>D32-C32</f>
        <v>0</v>
      </c>
      <c r="G32" s="40">
        <f>F32+0</f>
        <v>0</v>
      </c>
      <c r="H32" s="41">
        <f>G32*2000</f>
        <v>0</v>
      </c>
      <c r="I32" s="42"/>
    </row>
    <row r="33" spans="1:12" s="34" customFormat="1" ht="32.1" hidden="1" customHeight="1" x14ac:dyDescent="0.25">
      <c r="B33" s="83" t="s">
        <v>7</v>
      </c>
      <c r="C33" s="39">
        <f>L9</f>
        <v>414</v>
      </c>
      <c r="D33" s="39">
        <f>M9</f>
        <v>570</v>
      </c>
      <c r="E33" s="315"/>
      <c r="F33" s="40">
        <f>D33-C33</f>
        <v>156</v>
      </c>
      <c r="G33" s="40" t="e">
        <f>F33/$O$23*E32</f>
        <v>#DIV/0!</v>
      </c>
      <c r="H33" s="41" t="e">
        <f>G33*9500</f>
        <v>#DIV/0!</v>
      </c>
      <c r="I33" s="42"/>
    </row>
    <row r="34" spans="1:12" ht="17.25" customHeight="1" x14ac:dyDescent="0.25">
      <c r="B34" s="322" t="s">
        <v>166</v>
      </c>
      <c r="C34" s="323"/>
      <c r="D34" s="323"/>
      <c r="E34" s="323"/>
      <c r="F34" s="323"/>
      <c r="G34" s="324"/>
      <c r="H34" s="100">
        <f>SUM(H11+H14+H17+H20+H23+H26)</f>
        <v>3000800</v>
      </c>
      <c r="I34" s="101">
        <f>H34/2200</f>
        <v>1364</v>
      </c>
      <c r="J34">
        <f>SUMIF($B$11:$B$27,B11,$G$11:$G$27)</f>
        <v>1364</v>
      </c>
      <c r="L34" s="1"/>
    </row>
    <row r="35" spans="1:12" x14ac:dyDescent="0.25">
      <c r="B35" s="322" t="s">
        <v>167</v>
      </c>
      <c r="C35" s="323"/>
      <c r="D35" s="323"/>
      <c r="E35" s="323"/>
      <c r="F35" s="323"/>
      <c r="G35" s="324"/>
      <c r="H35" s="100" t="e">
        <f>H12+H15+H18+H21+H27+H24</f>
        <v>#DIV/0!</v>
      </c>
      <c r="I35" s="101" t="e">
        <f>H35/15000</f>
        <v>#DIV/0!</v>
      </c>
      <c r="J35" t="e">
        <f>SUMIF($B$11:$B$27,B12,$G$11:$G$27)</f>
        <v>#DIV/0!</v>
      </c>
      <c r="K35" t="e">
        <f>J35*15000</f>
        <v>#DIV/0!</v>
      </c>
    </row>
    <row r="36" spans="1:12" x14ac:dyDescent="0.25">
      <c r="B36" s="322" t="s">
        <v>168</v>
      </c>
      <c r="C36" s="323"/>
      <c r="D36" s="323"/>
      <c r="E36" s="323"/>
      <c r="F36" s="323"/>
      <c r="G36" s="324"/>
      <c r="H36" s="100" t="e">
        <f>SUM(H34:H35)</f>
        <v>#DIV/0!</v>
      </c>
      <c r="I36" s="102"/>
      <c r="J36" s="1"/>
    </row>
    <row r="37" spans="1:12" x14ac:dyDescent="0.25">
      <c r="A37" s="75"/>
      <c r="B37" s="75"/>
      <c r="C37" s="75"/>
      <c r="D37" s="77"/>
      <c r="E37" s="78"/>
      <c r="F37" s="281" t="str">
        <f ca="1">" TP. Hồ Chí Minh, ngày "&amp;DAY(NOW())&amp;" tháng "&amp;MONTH(NOW())&amp;" năm "&amp;YEAR(NOW())</f>
        <v xml:space="preserve"> TP. Hồ Chí Minh, ngày 10 tháng 6 năm 2020</v>
      </c>
      <c r="G37" s="281"/>
      <c r="H37" s="281"/>
      <c r="I37" s="281"/>
      <c r="J37" s="25"/>
      <c r="K37" s="25"/>
    </row>
    <row r="38" spans="1:12" x14ac:dyDescent="0.25">
      <c r="A38" s="282" t="s">
        <v>17</v>
      </c>
      <c r="B38" s="282"/>
      <c r="C38" s="282"/>
      <c r="D38" s="77"/>
      <c r="E38" s="78"/>
      <c r="F38" s="283" t="s">
        <v>16</v>
      </c>
      <c r="G38" s="283"/>
      <c r="H38" s="283"/>
      <c r="I38" s="283"/>
      <c r="J38" s="25"/>
    </row>
    <row r="39" spans="1:12" x14ac:dyDescent="0.25">
      <c r="A39" s="75"/>
      <c r="B39" s="75"/>
      <c r="C39" s="75"/>
      <c r="D39" s="77"/>
      <c r="E39" s="78"/>
      <c r="F39" s="79"/>
      <c r="G39" s="80"/>
      <c r="H39" s="81"/>
      <c r="I39" s="50"/>
    </row>
    <row r="40" spans="1:12" x14ac:dyDescent="0.25">
      <c r="A40" s="75"/>
      <c r="B40" s="75"/>
      <c r="C40" s="75"/>
      <c r="D40" s="77"/>
      <c r="E40" s="78"/>
      <c r="F40" s="79"/>
      <c r="G40" s="78"/>
      <c r="H40" s="75"/>
      <c r="I40" s="50"/>
    </row>
    <row r="41" spans="1:12" x14ac:dyDescent="0.25">
      <c r="A41" s="75"/>
      <c r="B41" s="75"/>
      <c r="C41" s="75"/>
      <c r="D41" s="77"/>
      <c r="E41" s="78"/>
      <c r="F41" s="79"/>
      <c r="G41" s="82"/>
      <c r="H41" s="75"/>
      <c r="I41" s="50"/>
    </row>
    <row r="42" spans="1:12" x14ac:dyDescent="0.25">
      <c r="A42" s="274" t="s">
        <v>151</v>
      </c>
      <c r="B42" s="274"/>
      <c r="C42" s="274"/>
      <c r="D42" s="77"/>
      <c r="E42" s="78"/>
      <c r="F42" s="275" t="s">
        <v>152</v>
      </c>
      <c r="G42" s="275"/>
      <c r="H42" s="275"/>
      <c r="I42" s="275"/>
    </row>
    <row r="44" spans="1:12" ht="16.5" x14ac:dyDescent="0.25">
      <c r="C44" s="269"/>
      <c r="D44" s="269"/>
      <c r="E44" s="269"/>
      <c r="G44" s="269"/>
      <c r="H44" s="269"/>
    </row>
    <row r="45" spans="1:12" ht="28.15" customHeight="1" x14ac:dyDescent="0.25">
      <c r="A45" t="s">
        <v>186</v>
      </c>
      <c r="D45" s="4"/>
      <c r="E45" s="3"/>
      <c r="F45" s="21"/>
      <c r="G45" s="3"/>
    </row>
    <row r="46" spans="1:12" ht="24.4" customHeight="1" x14ac:dyDescent="0.25">
      <c r="A46" t="s">
        <v>187</v>
      </c>
      <c r="B46" t="s">
        <v>188</v>
      </c>
      <c r="D46" s="4"/>
      <c r="E46" s="3"/>
      <c r="F46" s="21"/>
      <c r="G46" s="3"/>
    </row>
    <row r="47" spans="1:12" x14ac:dyDescent="0.25">
      <c r="B47" t="s">
        <v>187</v>
      </c>
    </row>
  </sheetData>
  <mergeCells count="23">
    <mergeCell ref="C44:E44"/>
    <mergeCell ref="G44:H44"/>
    <mergeCell ref="A38:C38"/>
    <mergeCell ref="A42:C42"/>
    <mergeCell ref="F42:I42"/>
    <mergeCell ref="B34:G34"/>
    <mergeCell ref="B35:G35"/>
    <mergeCell ref="B36:G36"/>
    <mergeCell ref="F37:I37"/>
    <mergeCell ref="F38:I38"/>
    <mergeCell ref="E32:E33"/>
    <mergeCell ref="F2:I2"/>
    <mergeCell ref="F3:I3"/>
    <mergeCell ref="B7:I7"/>
    <mergeCell ref="B8:I8"/>
    <mergeCell ref="E11:E12"/>
    <mergeCell ref="E14:E15"/>
    <mergeCell ref="E17:E18"/>
    <mergeCell ref="E20:E21"/>
    <mergeCell ref="E23:E24"/>
    <mergeCell ref="E26:E27"/>
    <mergeCell ref="E29:E30"/>
    <mergeCell ref="B5:I5"/>
  </mergeCells>
  <pageMargins left="0.75" right="0.17" top="0.27" bottom="0.2" header="0.28000000000000003" footer="0.17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so nguoi</vt:lpstr>
      <vt:lpstr>Khu C</vt:lpstr>
      <vt:lpstr>Khu C108-C214</vt:lpstr>
      <vt:lpstr>Bản chia C</vt:lpstr>
      <vt:lpstr>Khu K</vt:lpstr>
      <vt:lpstr>bản chia K</vt:lpstr>
      <vt:lpstr>Khu K107-K211</vt:lpstr>
      <vt:lpstr>TỔNG HỢP</vt:lpstr>
      <vt:lpstr>Khu N</vt:lpstr>
      <vt:lpstr>'Bản chia C'!Print_Area</vt:lpstr>
      <vt:lpstr>'Khu C'!Print_Area</vt:lpstr>
      <vt:lpstr>'Khu C108-C214'!Print_Area</vt:lpstr>
      <vt:lpstr>'Khu K'!Print_Area</vt:lpstr>
      <vt:lpstr>'Khu K107-K211'!Print_Area</vt:lpstr>
      <vt:lpstr>'TỔNG HỢP'!Print_Area</vt:lpstr>
      <vt:lpstr>'Khu C'!Print_Titles</vt:lpstr>
      <vt:lpstr>'Khu C108-C214'!Print_Titles</vt:lpstr>
      <vt:lpstr>'Khu K'!Print_Titles</vt:lpstr>
      <vt:lpstr>'Khu K107-K211'!Print_Titles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NGOINHAXANH</dc:creator>
  <cp:lastModifiedBy>Windows User</cp:lastModifiedBy>
  <cp:lastPrinted>2020-06-08T08:32:52Z</cp:lastPrinted>
  <dcterms:created xsi:type="dcterms:W3CDTF">2015-11-25T00:57:48Z</dcterms:created>
  <dcterms:modified xsi:type="dcterms:W3CDTF">2020-06-10T00:57:27Z</dcterms:modified>
</cp:coreProperties>
</file>