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240" windowWidth="19200" windowHeight="6945" firstSheet="1" activeTab="3"/>
  </bookViews>
  <sheets>
    <sheet name="so nguoi" sheetId="9" state="hidden" r:id="rId1"/>
    <sheet name="Khu C" sheetId="12" r:id="rId2"/>
    <sheet name="Khu C108-C214" sheetId="8" state="hidden" r:id="rId3"/>
    <sheet name="Khu K" sheetId="13" r:id="rId4"/>
    <sheet name="Khu K107-K211" sheetId="7" r:id="rId5"/>
    <sheet name="TỔNG HỢP" sheetId="11" state="hidden" r:id="rId6"/>
    <sheet name="Khu N" sheetId="10" state="hidden" r:id="rId7"/>
    <sheet name="Sheet1" sheetId="17" state="hidden" r:id="rId8"/>
  </sheets>
  <definedNames>
    <definedName name="_xlnm._FilterDatabase" localSheetId="1" hidden="1">'Khu C'!$A$8:$O$146</definedName>
    <definedName name="_xlnm.Print_Area" localSheetId="1">'Khu C'!$A$1:$H$151</definedName>
    <definedName name="_xlnm.Print_Area" localSheetId="2">'Khu C108-C214'!$A$1:$H$66</definedName>
    <definedName name="_xlnm.Print_Area" localSheetId="3">'Khu K'!$A$1:$H$152</definedName>
    <definedName name="_xlnm.Print_Area" localSheetId="4">'Khu K107-K211'!$A$1:$H$96</definedName>
    <definedName name="_xlnm.Print_Area" localSheetId="5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3">'Khu K'!$8:$8</definedName>
    <definedName name="_xlnm.Print_Titles" localSheetId="4">'Khu K107-K211'!$8:$8</definedName>
  </definedNames>
  <calcPr calcId="144525"/>
</workbook>
</file>

<file path=xl/calcChain.xml><?xml version="1.0" encoding="utf-8"?>
<calcChain xmlns="http://schemas.openxmlformats.org/spreadsheetml/2006/main">
  <c r="B124" i="13" l="1"/>
  <c r="B76" i="13"/>
  <c r="B80" i="13" s="1"/>
  <c r="B84" i="13" s="1"/>
  <c r="B72" i="13"/>
  <c r="B64" i="13"/>
  <c r="B88" i="13" s="1"/>
  <c r="B92" i="13" s="1"/>
  <c r="B96" i="13" s="1"/>
  <c r="B60" i="13"/>
  <c r="B52" i="13"/>
  <c r="B48" i="13"/>
  <c r="B28" i="13"/>
  <c r="B32" i="13" s="1"/>
  <c r="B36" i="13" s="1"/>
  <c r="B40" i="13" s="1"/>
  <c r="B20" i="13"/>
  <c r="B44" i="13" s="1"/>
  <c r="B16" i="13"/>
  <c r="B125" i="12"/>
  <c r="B119" i="12"/>
  <c r="B113" i="12"/>
  <c r="B107" i="12"/>
  <c r="B101" i="12"/>
  <c r="B92" i="12"/>
  <c r="B83" i="12"/>
  <c r="B77" i="12"/>
  <c r="B71" i="12"/>
  <c r="B65" i="12"/>
  <c r="B59" i="12"/>
  <c r="B50" i="12"/>
  <c r="B44" i="12"/>
  <c r="B38" i="12"/>
  <c r="B29" i="12"/>
  <c r="B23" i="12"/>
  <c r="B14" i="12"/>
  <c r="C124" i="13" l="1"/>
  <c r="C48" i="13" l="1"/>
  <c r="C52" i="13" s="1"/>
  <c r="D10" i="13"/>
  <c r="D10" i="12" l="1"/>
  <c r="A4" i="11" l="1"/>
  <c r="N6" i="13" l="1"/>
  <c r="N5" i="13"/>
  <c r="N9" i="13" l="1"/>
  <c r="N8" i="13"/>
  <c r="N7" i="13"/>
  <c r="M6" i="13"/>
  <c r="C72" i="13" l="1"/>
  <c r="C76" i="13" s="1"/>
  <c r="C80" i="13" s="1"/>
  <c r="C84" i="13" s="1"/>
  <c r="C64" i="13"/>
  <c r="C88" i="13" s="1"/>
  <c r="C92" i="13" s="1"/>
  <c r="C96" i="13" s="1"/>
  <c r="C60" i="13"/>
  <c r="C28" i="13"/>
  <c r="C32" i="13" s="1"/>
  <c r="C36" i="13" s="1"/>
  <c r="C40" i="13" s="1"/>
  <c r="C20" i="13"/>
  <c r="C44" i="13" s="1"/>
  <c r="C16" i="13"/>
  <c r="C125" i="12"/>
  <c r="C119" i="12"/>
  <c r="C113" i="12"/>
  <c r="C107" i="12"/>
  <c r="C101" i="12"/>
  <c r="C92" i="12"/>
  <c r="C83" i="12"/>
  <c r="C77" i="12"/>
  <c r="C71" i="12"/>
  <c r="C65" i="12"/>
  <c r="C59" i="12"/>
  <c r="C50" i="12"/>
  <c r="C44" i="12"/>
  <c r="C38" i="12"/>
  <c r="C29" i="12"/>
  <c r="C23" i="12"/>
  <c r="C14" i="12"/>
  <c r="E31" i="12" l="1"/>
  <c r="F31" i="12" s="1"/>
  <c r="F24" i="9" l="1"/>
  <c r="D24" i="9" l="1"/>
  <c r="B24" i="9"/>
  <c r="E26" i="13" l="1"/>
  <c r="D14" i="13" l="1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06" i="13" l="1"/>
  <c r="G111" i="13"/>
  <c r="G114" i="13"/>
  <c r="G119" i="13"/>
  <c r="G122" i="13"/>
  <c r="G127" i="13"/>
  <c r="G130" i="13"/>
  <c r="G135" i="13"/>
  <c r="G138" i="13"/>
  <c r="G107" i="13"/>
  <c r="G110" i="13"/>
  <c r="G115" i="13"/>
  <c r="G118" i="13"/>
  <c r="G123" i="13"/>
  <c r="G126" i="13"/>
  <c r="G131" i="13"/>
  <c r="G134" i="13"/>
  <c r="G139" i="13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5" i="13" l="1"/>
  <c r="G99" i="13"/>
  <c r="G103" i="13"/>
  <c r="G94" i="13"/>
  <c r="G98" i="13"/>
  <c r="G102" i="13"/>
  <c r="G34" i="13"/>
  <c r="G39" i="13"/>
  <c r="G42" i="13"/>
  <c r="G47" i="13"/>
  <c r="G51" i="13"/>
  <c r="G55" i="13"/>
  <c r="G59" i="13"/>
  <c r="G63" i="13"/>
  <c r="G67" i="13"/>
  <c r="G71" i="13"/>
  <c r="G75" i="13"/>
  <c r="G79" i="13"/>
  <c r="G83" i="13"/>
  <c r="G87" i="13"/>
  <c r="G91" i="13"/>
  <c r="G38" i="13"/>
  <c r="G43" i="13"/>
  <c r="G46" i="13"/>
  <c r="G50" i="13"/>
  <c r="G54" i="13"/>
  <c r="G58" i="13"/>
  <c r="G62" i="13"/>
  <c r="G66" i="13"/>
  <c r="G70" i="13"/>
  <c r="G74" i="13"/>
  <c r="G78" i="13"/>
  <c r="G82" i="13"/>
  <c r="G86" i="13"/>
  <c r="G90" i="13"/>
  <c r="H24" i="9" l="1"/>
  <c r="C44" i="7" l="1"/>
  <c r="B44" i="7"/>
  <c r="J24" i="9" l="1"/>
  <c r="L24" i="9"/>
  <c r="N24" i="9"/>
  <c r="E56" i="12" l="1"/>
  <c r="E55" i="12"/>
  <c r="D28" i="12" l="1"/>
  <c r="D25" i="12"/>
  <c r="E138" i="12" l="1"/>
  <c r="E137" i="12"/>
  <c r="D137" i="12"/>
  <c r="F138" i="12" l="1"/>
  <c r="F137" i="12"/>
  <c r="E140" i="12"/>
  <c r="D140" i="12"/>
  <c r="G138" i="12" l="1"/>
  <c r="G137" i="12"/>
  <c r="F140" i="12"/>
  <c r="E141" i="12"/>
  <c r="F141" i="12" s="1"/>
  <c r="D106" i="12"/>
  <c r="H136" i="12" l="1"/>
  <c r="G140" i="12"/>
  <c r="E132" i="12"/>
  <c r="F132" i="12" s="1"/>
  <c r="G132" i="12" l="1"/>
  <c r="G141" i="12"/>
  <c r="H139" i="12" s="1"/>
  <c r="E130" i="12"/>
  <c r="F130" i="12" s="1"/>
  <c r="H131" i="12" l="1"/>
  <c r="G130" i="12"/>
  <c r="L53" i="12"/>
  <c r="L52" i="12"/>
  <c r="H129" i="12" l="1"/>
  <c r="E127" i="12"/>
  <c r="F127" i="12" s="1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D134" i="12"/>
  <c r="G115" i="12" l="1"/>
  <c r="G118" i="12"/>
  <c r="G124" i="12"/>
  <c r="G127" i="12"/>
  <c r="G85" i="12"/>
  <c r="G121" i="12"/>
  <c r="E125" i="12"/>
  <c r="F128" i="12"/>
  <c r="E119" i="12"/>
  <c r="F119" i="12" s="1"/>
  <c r="F122" i="12"/>
  <c r="F125" i="12"/>
  <c r="F116" i="12"/>
  <c r="G122" i="12" l="1"/>
  <c r="G119" i="12"/>
  <c r="G128" i="12"/>
  <c r="G116" i="12"/>
  <c r="G125" i="12"/>
  <c r="E134" i="12"/>
  <c r="E135" i="12"/>
  <c r="F135" i="12" l="1"/>
  <c r="H117" i="12"/>
  <c r="H123" i="12"/>
  <c r="H126" i="12"/>
  <c r="H120" i="12"/>
  <c r="H114" i="12"/>
  <c r="F134" i="12"/>
  <c r="E112" i="12"/>
  <c r="F112" i="12" s="1"/>
  <c r="D112" i="12"/>
  <c r="E110" i="12"/>
  <c r="E109" i="12"/>
  <c r="F109" i="12" s="1"/>
  <c r="D109" i="12"/>
  <c r="E106" i="12"/>
  <c r="F106" i="12" s="1"/>
  <c r="E104" i="12"/>
  <c r="E103" i="12"/>
  <c r="F103" i="12" s="1"/>
  <c r="D103" i="12"/>
  <c r="E100" i="12"/>
  <c r="F100" i="12" s="1"/>
  <c r="D100" i="12"/>
  <c r="E98" i="12"/>
  <c r="E97" i="12"/>
  <c r="F97" i="12" s="1"/>
  <c r="E95" i="12"/>
  <c r="F95" i="12" s="1"/>
  <c r="E94" i="12"/>
  <c r="F94" i="12" s="1"/>
  <c r="D94" i="12"/>
  <c r="E91" i="12"/>
  <c r="F91" i="12" s="1"/>
  <c r="D91" i="12"/>
  <c r="E89" i="12"/>
  <c r="E88" i="12"/>
  <c r="F88" i="12" s="1"/>
  <c r="D88" i="12"/>
  <c r="E82" i="12"/>
  <c r="F82" i="12" s="1"/>
  <c r="D82" i="12"/>
  <c r="G86" i="12" s="1"/>
  <c r="E80" i="12"/>
  <c r="E79" i="12"/>
  <c r="F79" i="12" s="1"/>
  <c r="D79" i="12"/>
  <c r="E76" i="12"/>
  <c r="F76" i="12" s="1"/>
  <c r="D76" i="12"/>
  <c r="E74" i="12"/>
  <c r="E73" i="12"/>
  <c r="F73" i="12" s="1"/>
  <c r="D73" i="12"/>
  <c r="E71" i="12"/>
  <c r="E70" i="12"/>
  <c r="F70" i="12" s="1"/>
  <c r="D70" i="12"/>
  <c r="E68" i="12"/>
  <c r="E67" i="12"/>
  <c r="F67" i="12" s="1"/>
  <c r="D67" i="12"/>
  <c r="H84" i="12" l="1"/>
  <c r="G134" i="12"/>
  <c r="G97" i="12"/>
  <c r="G67" i="12"/>
  <c r="E77" i="12"/>
  <c r="F77" i="12" s="1"/>
  <c r="G94" i="12"/>
  <c r="G82" i="12"/>
  <c r="G95" i="12"/>
  <c r="F104" i="12"/>
  <c r="G112" i="12"/>
  <c r="G70" i="12"/>
  <c r="F71" i="12"/>
  <c r="G79" i="12"/>
  <c r="F98" i="12"/>
  <c r="G100" i="12"/>
  <c r="G109" i="12"/>
  <c r="F89" i="12"/>
  <c r="F80" i="12"/>
  <c r="E101" i="12"/>
  <c r="F101" i="12" s="1"/>
  <c r="G103" i="12"/>
  <c r="E92" i="12"/>
  <c r="F92" i="12" s="1"/>
  <c r="E107" i="12"/>
  <c r="F107" i="12" s="1"/>
  <c r="F68" i="12"/>
  <c r="F110" i="12"/>
  <c r="G106" i="12"/>
  <c r="G91" i="12"/>
  <c r="G88" i="12"/>
  <c r="G76" i="12"/>
  <c r="G73" i="12"/>
  <c r="F74" i="12"/>
  <c r="E83" i="12"/>
  <c r="F83" i="12" s="1"/>
  <c r="E113" i="12"/>
  <c r="F113" i="12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H93" i="12" l="1"/>
  <c r="G104" i="12"/>
  <c r="G98" i="12"/>
  <c r="G89" i="12"/>
  <c r="G71" i="12"/>
  <c r="G113" i="12"/>
  <c r="G92" i="12"/>
  <c r="G80" i="12"/>
  <c r="G110" i="12"/>
  <c r="G68" i="12"/>
  <c r="G135" i="12"/>
  <c r="G107" i="12"/>
  <c r="G83" i="12"/>
  <c r="G74" i="12"/>
  <c r="G101" i="12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0" i="13"/>
  <c r="F30" i="13" s="1"/>
  <c r="D30" i="13"/>
  <c r="I29" i="13"/>
  <c r="E27" i="13"/>
  <c r="F27" i="13" s="1"/>
  <c r="F26" i="13"/>
  <c r="D26" i="13"/>
  <c r="I25" i="13"/>
  <c r="E23" i="13"/>
  <c r="F23" i="13" s="1"/>
  <c r="E22" i="13"/>
  <c r="F22" i="13" s="1"/>
  <c r="D22" i="13"/>
  <c r="I21" i="13"/>
  <c r="E19" i="13"/>
  <c r="F19" i="13" s="1"/>
  <c r="E18" i="13"/>
  <c r="F18" i="13" s="1"/>
  <c r="D18" i="13"/>
  <c r="E15" i="13"/>
  <c r="F15" i="13" s="1"/>
  <c r="E14" i="13"/>
  <c r="F14" i="13" s="1"/>
  <c r="E11" i="13"/>
  <c r="F11" i="13" s="1"/>
  <c r="M10" i="13"/>
  <c r="E10" i="13"/>
  <c r="F10" i="13" s="1"/>
  <c r="G10" i="13" s="1"/>
  <c r="M9" i="13"/>
  <c r="M8" i="13"/>
  <c r="O8" i="13" s="1"/>
  <c r="M7" i="13"/>
  <c r="M5" i="13"/>
  <c r="F145" i="12"/>
  <c r="E65" i="12"/>
  <c r="E64" i="12"/>
  <c r="F64" i="12" s="1"/>
  <c r="D64" i="12"/>
  <c r="E62" i="12"/>
  <c r="J61" i="12"/>
  <c r="E61" i="12"/>
  <c r="F61" i="12" s="1"/>
  <c r="D61" i="12"/>
  <c r="J60" i="12"/>
  <c r="J59" i="12"/>
  <c r="J58" i="12"/>
  <c r="E58" i="12"/>
  <c r="F58" i="12" s="1"/>
  <c r="D58" i="12"/>
  <c r="J57" i="12"/>
  <c r="J56" i="12"/>
  <c r="J55" i="12"/>
  <c r="F55" i="12"/>
  <c r="D55" i="12"/>
  <c r="J54" i="12"/>
  <c r="J53" i="12"/>
  <c r="E53" i="12"/>
  <c r="F53" i="12" s="1"/>
  <c r="J52" i="12"/>
  <c r="E52" i="12"/>
  <c r="F52" i="12" s="1"/>
  <c r="D52" i="12"/>
  <c r="J51" i="12"/>
  <c r="J50" i="12"/>
  <c r="E50" i="12"/>
  <c r="J49" i="12"/>
  <c r="E49" i="12"/>
  <c r="F49" i="12" s="1"/>
  <c r="D49" i="12"/>
  <c r="E47" i="12"/>
  <c r="N46" i="12"/>
  <c r="M46" i="12"/>
  <c r="E46" i="12"/>
  <c r="F46" i="12" s="1"/>
  <c r="D46" i="12"/>
  <c r="N45" i="12"/>
  <c r="M45" i="12"/>
  <c r="E43" i="12"/>
  <c r="F43" i="12" s="1"/>
  <c r="D43" i="12"/>
  <c r="E41" i="12"/>
  <c r="E40" i="12"/>
  <c r="F40" i="12" s="1"/>
  <c r="D40" i="12"/>
  <c r="E37" i="12"/>
  <c r="F37" i="12" s="1"/>
  <c r="D37" i="12"/>
  <c r="E35" i="12"/>
  <c r="E34" i="12"/>
  <c r="F34" i="12" s="1"/>
  <c r="D34" i="12"/>
  <c r="J32" i="12"/>
  <c r="E32" i="12"/>
  <c r="F32" i="12" s="1"/>
  <c r="J31" i="12"/>
  <c r="D31" i="12"/>
  <c r="J30" i="12"/>
  <c r="J29" i="12"/>
  <c r="K31" i="12" s="1"/>
  <c r="J28" i="12"/>
  <c r="K30" i="12" s="1"/>
  <c r="E28" i="12"/>
  <c r="F28" i="12" s="1"/>
  <c r="J27" i="12"/>
  <c r="K29" i="12" s="1"/>
  <c r="J26" i="12"/>
  <c r="K28" i="12" s="1"/>
  <c r="E26" i="12"/>
  <c r="J25" i="12"/>
  <c r="K27" i="12" s="1"/>
  <c r="E25" i="12"/>
  <c r="F25" i="12" s="1"/>
  <c r="J24" i="12"/>
  <c r="K26" i="12" s="1"/>
  <c r="J23" i="12"/>
  <c r="K25" i="12" s="1"/>
  <c r="E23" i="12"/>
  <c r="J22" i="12"/>
  <c r="K24" i="12" s="1"/>
  <c r="E22" i="12"/>
  <c r="F22" i="12" s="1"/>
  <c r="D22" i="12"/>
  <c r="J21" i="12"/>
  <c r="K23" i="12" s="1"/>
  <c r="J20" i="12"/>
  <c r="K22" i="12" s="1"/>
  <c r="E20" i="12"/>
  <c r="J19" i="12"/>
  <c r="K21" i="12" s="1"/>
  <c r="E19" i="12"/>
  <c r="F19" i="12" s="1"/>
  <c r="D19" i="12"/>
  <c r="J18" i="12"/>
  <c r="K20" i="12" s="1"/>
  <c r="J17" i="12"/>
  <c r="K19" i="12" s="1"/>
  <c r="E17" i="12"/>
  <c r="F17" i="12" s="1"/>
  <c r="J16" i="12"/>
  <c r="K18" i="12" s="1"/>
  <c r="E16" i="12"/>
  <c r="F16" i="12" s="1"/>
  <c r="D16" i="12"/>
  <c r="J15" i="12"/>
  <c r="K17" i="12" s="1"/>
  <c r="E14" i="12"/>
  <c r="E13" i="12"/>
  <c r="F13" i="12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G16" i="12" l="1"/>
  <c r="G30" i="13"/>
  <c r="G31" i="13"/>
  <c r="G26" i="13"/>
  <c r="G27" i="13"/>
  <c r="G22" i="13"/>
  <c r="G23" i="13"/>
  <c r="G19" i="13"/>
  <c r="G18" i="13"/>
  <c r="G14" i="13"/>
  <c r="G15" i="13"/>
  <c r="F11" i="12"/>
  <c r="O46" i="12"/>
  <c r="H99" i="12"/>
  <c r="H133" i="12"/>
  <c r="H78" i="12"/>
  <c r="H90" i="12"/>
  <c r="H69" i="12"/>
  <c r="H87" i="12"/>
  <c r="H81" i="12"/>
  <c r="H75" i="12"/>
  <c r="H72" i="12"/>
  <c r="H105" i="12"/>
  <c r="H66" i="12"/>
  <c r="H111" i="12"/>
  <c r="H108" i="12"/>
  <c r="H96" i="12"/>
  <c r="F23" i="12"/>
  <c r="H102" i="12"/>
  <c r="J102" i="12"/>
  <c r="I102" i="12"/>
  <c r="O10" i="12"/>
  <c r="F14" i="12"/>
  <c r="E12" i="13"/>
  <c r="O9" i="7"/>
  <c r="G31" i="12"/>
  <c r="G37" i="12"/>
  <c r="O6" i="12"/>
  <c r="G13" i="12"/>
  <c r="G22" i="12"/>
  <c r="G28" i="12"/>
  <c r="G34" i="12"/>
  <c r="G49" i="12"/>
  <c r="G53" i="12"/>
  <c r="G55" i="12"/>
  <c r="G61" i="12"/>
  <c r="G64" i="12"/>
  <c r="G32" i="12"/>
  <c r="G43" i="12"/>
  <c r="G17" i="12"/>
  <c r="G19" i="12"/>
  <c r="G25" i="12"/>
  <c r="G40" i="12"/>
  <c r="G46" i="12"/>
  <c r="G52" i="12"/>
  <c r="G58" i="12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O7" i="13"/>
  <c r="O10" i="7"/>
  <c r="O9" i="13"/>
  <c r="O10" i="13"/>
  <c r="E28" i="13"/>
  <c r="E24" i="13"/>
  <c r="E32" i="13"/>
  <c r="O6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F124" i="13" l="1"/>
  <c r="F120" i="13"/>
  <c r="F80" i="13"/>
  <c r="F72" i="13"/>
  <c r="F84" i="13"/>
  <c r="F76" i="13"/>
  <c r="F68" i="13"/>
  <c r="F96" i="13"/>
  <c r="F56" i="13"/>
  <c r="F92" i="13"/>
  <c r="F60" i="13"/>
  <c r="F88" i="13"/>
  <c r="F64" i="13"/>
  <c r="F36" i="13"/>
  <c r="F28" i="13"/>
  <c r="F24" i="13"/>
  <c r="F40" i="13"/>
  <c r="F32" i="13"/>
  <c r="F44" i="13"/>
  <c r="F20" i="13"/>
  <c r="F12" i="13"/>
  <c r="G11" i="12"/>
  <c r="G142" i="12"/>
  <c r="C11" i="11" s="1"/>
  <c r="H143" i="12"/>
  <c r="F136" i="13"/>
  <c r="F132" i="13"/>
  <c r="F116" i="13"/>
  <c r="F112" i="13"/>
  <c r="F140" i="13"/>
  <c r="F128" i="13"/>
  <c r="F104" i="13"/>
  <c r="F100" i="13"/>
  <c r="F52" i="13"/>
  <c r="F108" i="13"/>
  <c r="F48" i="13"/>
  <c r="G12" i="13"/>
  <c r="H9" i="13" s="1"/>
  <c r="I119" i="12"/>
  <c r="H142" i="12"/>
  <c r="I113" i="12"/>
  <c r="I125" i="12"/>
  <c r="I128" i="12"/>
  <c r="H30" i="12"/>
  <c r="H15" i="12"/>
  <c r="H51" i="12"/>
  <c r="G14" i="12"/>
  <c r="G44" i="12"/>
  <c r="G62" i="12"/>
  <c r="G23" i="12"/>
  <c r="G38" i="12"/>
  <c r="G26" i="12"/>
  <c r="G65" i="12"/>
  <c r="G20" i="12"/>
  <c r="G47" i="12"/>
  <c r="G56" i="12"/>
  <c r="H54" i="12" s="1"/>
  <c r="G50" i="12"/>
  <c r="G41" i="12"/>
  <c r="F16" i="13"/>
  <c r="G29" i="12"/>
  <c r="G59" i="12"/>
  <c r="H57" i="12" s="1"/>
  <c r="G108" i="13" l="1"/>
  <c r="H105" i="13" s="1"/>
  <c r="G104" i="13"/>
  <c r="H101" i="13" s="1"/>
  <c r="G140" i="13"/>
  <c r="H137" i="13" s="1"/>
  <c r="G112" i="13"/>
  <c r="H109" i="13" s="1"/>
  <c r="G132" i="13"/>
  <c r="H129" i="13" s="1"/>
  <c r="G120" i="13"/>
  <c r="H117" i="13" s="1"/>
  <c r="G100" i="13"/>
  <c r="H97" i="13" s="1"/>
  <c r="G128" i="13"/>
  <c r="H125" i="13" s="1"/>
  <c r="G124" i="13"/>
  <c r="H121" i="13" s="1"/>
  <c r="G116" i="13"/>
  <c r="H113" i="13" s="1"/>
  <c r="G136" i="13"/>
  <c r="H133" i="13" s="1"/>
  <c r="G143" i="12"/>
  <c r="G20" i="13"/>
  <c r="G60" i="13"/>
  <c r="H57" i="13" s="1"/>
  <c r="G68" i="13"/>
  <c r="H65" i="13" s="1"/>
  <c r="G76" i="13"/>
  <c r="H73" i="13" s="1"/>
  <c r="G84" i="13"/>
  <c r="H81" i="13" s="1"/>
  <c r="G92" i="13"/>
  <c r="H89" i="13" s="1"/>
  <c r="G56" i="13"/>
  <c r="H53" i="13" s="1"/>
  <c r="G64" i="13"/>
  <c r="H61" i="13" s="1"/>
  <c r="G72" i="13"/>
  <c r="H69" i="13" s="1"/>
  <c r="G80" i="13"/>
  <c r="H77" i="13" s="1"/>
  <c r="G88" i="13"/>
  <c r="H85" i="13" s="1"/>
  <c r="G96" i="13"/>
  <c r="H93" i="13" s="1"/>
  <c r="G44" i="13"/>
  <c r="H41" i="13" s="1"/>
  <c r="G40" i="13"/>
  <c r="H37" i="13" s="1"/>
  <c r="G52" i="13"/>
  <c r="H49" i="13" s="1"/>
  <c r="G36" i="13"/>
  <c r="H33" i="13" s="1"/>
  <c r="G48" i="13"/>
  <c r="H45" i="13" s="1"/>
  <c r="H141" i="13"/>
  <c r="H142" i="13"/>
  <c r="G141" i="13"/>
  <c r="C12" i="11" s="1"/>
  <c r="I143" i="12"/>
  <c r="I142" i="12"/>
  <c r="G28" i="13"/>
  <c r="H25" i="13" s="1"/>
  <c r="G24" i="13"/>
  <c r="H21" i="13" s="1"/>
  <c r="G16" i="13"/>
  <c r="H13" i="13" s="1"/>
  <c r="H17" i="13"/>
  <c r="G32" i="13"/>
  <c r="H29" i="13" s="1"/>
  <c r="H33" i="12"/>
  <c r="H18" i="12"/>
  <c r="H27" i="12"/>
  <c r="H63" i="12"/>
  <c r="H60" i="12"/>
  <c r="H24" i="12"/>
  <c r="H42" i="12"/>
  <c r="H39" i="12"/>
  <c r="H45" i="12"/>
  <c r="H36" i="12"/>
  <c r="H48" i="12"/>
  <c r="H21" i="12"/>
  <c r="H12" i="12"/>
  <c r="H9" i="12"/>
  <c r="C53" i="8"/>
  <c r="C56" i="8" s="1"/>
  <c r="E56" i="8" s="1"/>
  <c r="D52" i="8"/>
  <c r="E52" i="8"/>
  <c r="F52" i="8" s="1"/>
  <c r="G52" i="8" s="1"/>
  <c r="G144" i="12" l="1"/>
  <c r="D11" i="11"/>
  <c r="G142" i="13"/>
  <c r="D12" i="11" s="1"/>
  <c r="I141" i="13"/>
  <c r="I142" i="13"/>
  <c r="I144" i="12"/>
  <c r="I141" i="12"/>
  <c r="I139" i="12"/>
  <c r="I138" i="12"/>
  <c r="I136" i="12"/>
  <c r="I135" i="12"/>
  <c r="I131" i="12"/>
  <c r="I129" i="12"/>
  <c r="I133" i="12"/>
  <c r="F56" i="8"/>
  <c r="G56" i="8" s="1"/>
  <c r="H54" i="8" s="1"/>
  <c r="E53" i="8"/>
  <c r="D15" i="11"/>
  <c r="M7" i="11"/>
  <c r="M6" i="11"/>
  <c r="M5" i="11"/>
  <c r="D10" i="8"/>
  <c r="C32" i="8"/>
  <c r="J142" i="13" l="1"/>
  <c r="K142" i="13"/>
  <c r="G143" i="13"/>
  <c r="J144" i="12"/>
  <c r="I146" i="12"/>
  <c r="C14" i="8"/>
  <c r="E14" i="8" s="1"/>
  <c r="C47" i="8"/>
  <c r="E47" i="8" s="1"/>
  <c r="C41" i="8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1" i="8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32" i="8" l="1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H35" i="10"/>
  <c r="G28" i="7"/>
  <c r="H84" i="7"/>
  <c r="I84" i="7" s="1"/>
  <c r="G83" i="7"/>
  <c r="H83" i="7"/>
  <c r="I83" i="7" s="1"/>
  <c r="G84" i="7" l="1"/>
  <c r="K84" i="7" s="1"/>
  <c r="E11" i="11"/>
  <c r="G59" i="8"/>
  <c r="J59" i="8" s="1"/>
  <c r="H36" i="10"/>
  <c r="I35" i="10"/>
  <c r="H25" i="7"/>
  <c r="J81" i="7" s="1"/>
  <c r="E12" i="11" l="1"/>
  <c r="E13" i="11" s="1"/>
  <c r="G85" i="7"/>
  <c r="J84" i="7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<sst xmlns="http://schemas.openxmlformats.org/spreadsheetml/2006/main" count="786" uniqueCount="313">
  <si>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</si>
  <si>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</si>
  <si>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</si>
  <si>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</si>
  <si>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</si>
  <si>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</si>
  <si>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</si>
  <si>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</si>
  <si>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</si>
  <si>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</si>
  <si>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</si>
  <si>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</si>
  <si>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</si>
  <si>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</si>
  <si>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</si>
  <si>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</si>
  <si>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</si>
  <si>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</si>
  <si>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</si>
  <si>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</si>
  <si>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</si>
  <si>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</si>
  <si>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</si>
  <si>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</si>
  <si>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</si>
  <si>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</si>
  <si>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</si>
  <si>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</si>
  <si>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</si>
  <si>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</si>
  <si>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</si>
  <si>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</si>
  <si>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</si>
  <si>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</si>
  <si>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</si>
  <si>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</si>
  <si>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</si>
  <si>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</si>
  <si>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</si>
  <si>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</si>
  <si>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</si>
  <si>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</si>
  <si>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</si>
  <si>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</si>
  <si>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</si>
  <si>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</si>
  <si>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</si>
  <si>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</si>
  <si>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</si>
  <si>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</si>
  <si>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</si>
  <si>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</si>
  <si>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</si>
  <si>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</si>
  <si>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</si>
  <si>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</si>
  <si>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</si>
  <si>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</si>
  <si>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</si>
  <si>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</si>
  <si>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</si>
  <si>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</si>
  <si>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</si>
  <si>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</si>
  <si>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</si>
  <si>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</si>
  <si>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</si>
  <si>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</si>
  <si>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</si>
  <si>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</si>
  <si>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</si>
  <si>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</si>
  <si>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</si>
  <si>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</si>
  <si>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</si>
  <si>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</si>
  <si>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</si>
  <si>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</si>
  <si>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</si>
  <si>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</si>
  <si>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</si>
  <si>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</si>
  <si>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</si>
  <si>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</si>
  <si>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</si>
  <si>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</si>
  <si>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</si>
  <si>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</si>
  <si>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</si>
  <si>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</si>
  <si>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</si>
  <si>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</si>
  <si>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</si>
  <si>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</si>
  <si>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</si>
  <si>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</si>
  <si>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</si>
  <si>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</si>
  <si>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</si>
  <si>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</si>
  <si>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</si>
  <si>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</si>
  <si>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</si>
  <si>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</si>
  <si>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</si>
  <si>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</si>
  <si>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</si>
  <si>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</si>
  <si>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</si>
  <si>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</si>
  <si>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</si>
  <si>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</si>
  <si>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</si>
  <si>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</si>
  <si>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</si>
  <si>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</si>
  <si>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</si>
  <si>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</si>
  <si>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</si>
  <si>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</si>
  <si>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</si>
  <si>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</si>
  <si>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</si>
  <si>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</si>
  <si>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</si>
  <si>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</si>
  <si>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</si>
  <si>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</si>
  <si>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</si>
  <si>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</si>
  <si>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</si>
  <si>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</si>
  <si>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</si>
  <si>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</si>
  <si>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</si>
  <si>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</si>
  <si>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</si>
  <si>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</si>
  <si>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</si>
  <si>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</si>
  <si>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</si>
  <si>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</si>
  <si>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</si>
  <si>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</si>
  <si>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</si>
  <si>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</si>
  <si>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</si>
  <si>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</si>
  <si>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</si>
  <si>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</si>
  <si>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</si>
  <si>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</si>
  <si>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</si>
  <si>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</si>
  <si>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</si>
  <si>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</si>
  <si>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</si>
  <si>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</si>
  <si>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</si>
  <si>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</si>
  <si>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</si>
  <si>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</si>
  <si>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</si>
  <si>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</si>
  <si>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</si>
  <si>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</si>
  <si>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</si>
  <si>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</si>
  <si>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</si>
  <si>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</si>
  <si>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</si>
  <si>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</si>
  <si>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</si>
  <si>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</si>
  <si>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</si>
  <si>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</si>
  <si>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</si>
  <si>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</si>
  <si>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</si>
  <si>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</si>
  <si>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</si>
  <si>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</si>
  <si>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</si>
  <si>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</si>
  <si>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</si>
  <si>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</si>
  <si>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</si>
  <si>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</si>
  <si>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</si>
  <si>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</si>
  <si>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</si>
  <si>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</si>
  <si>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</si>
  <si>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</si>
  <si>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</si>
  <si>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</si>
  <si>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</si>
  <si>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</si>
  <si>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</si>
  <si>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</si>
  <si>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</si>
  <si>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</si>
  <si>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</si>
  <si>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</si>
  <si>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</si>
  <si>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</si>
  <si>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</si>
  <si>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</si>
  <si>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</si>
  <si>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</si>
  <si>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</si>
  <si>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</si>
  <si>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</si>
  <si>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</si>
  <si>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</si>
  <si>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</si>
  <si>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</si>
  <si>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</si>
  <si>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</si>
  <si>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</si>
  <si>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</si>
  <si>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</si>
  <si>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</si>
  <si>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</si>
  <si>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</si>
  <si>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</si>
  <si>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</si>
  <si>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</si>
  <si>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</si>
  <si>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</si>
  <si>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</si>
  <si>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</si>
  <si>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</si>
  <si>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</si>
  <si>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</si>
  <si>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</si>
  <si>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</si>
  <si>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</si>
  <si>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</si>
  <si>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</si>
  <si>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</si>
  <si>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</si>
  <si>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</si>
  <si>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</si>
  <si>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</si>
  <si>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</si>
  <si>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</si>
  <si>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</si>
  <si>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</si>
  <si>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</si>
  <si>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</si>
  <si>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</si>
  <si>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</si>
  <si>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</si>
  <si>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</si>
  <si>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</si>
  <si>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</si>
  <si>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</si>
  <si>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</si>
  <si>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</si>
  <si>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</si>
  <si>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</si>
  <si>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</si>
  <si>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</si>
  <si>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</si>
  <si>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</si>
  <si>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</si>
  <si>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</si>
  <si>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</si>
  <si>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</si>
  <si>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</si>
  <si>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</si>
  <si>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</si>
  <si>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</si>
  <si>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</si>
  <si>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</si>
  <si>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</si>
  <si>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</si>
  <si>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</si>
  <si>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</si>
  <si>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</si>
  <si>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</si>
  <si>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</si>
  <si>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</si>
  <si>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</si>
  <si>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</si>
  <si>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</si>
  <si>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</si>
  <si>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</si>
  <si>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</si>
  <si>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</si>
  <si>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</si>
  <si>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</si>
  <si>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</si>
  <si>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</si>
  <si>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</si>
  <si>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</si>
  <si>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</si>
  <si>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</si>
  <si>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</si>
  <si>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Đơn giá: Điện: 2.900 đồng/1 Kw</t>
  </si>
  <si>
    <t>,</t>
  </si>
  <si>
    <t>Nước: 18.000 đồng/1 Khối</t>
  </si>
  <si>
    <t>ĐẶNG CÔNG TRUNG</t>
  </si>
  <si>
    <t>K001-k003;k009-k011</t>
  </si>
  <si>
    <t>k004-k008</t>
  </si>
  <si>
    <t>k101-k103:k109-k111</t>
  </si>
  <si>
    <t>k104-k108</t>
  </si>
  <si>
    <t>Thành phố Hồ Chí Minh, ngày 13 tháng 11 năm 2017</t>
  </si>
  <si>
    <t>THÁNG 12/2020</t>
  </si>
  <si>
    <t>BẢNG TỔNG HỢP ĐIỆN - NƯỚC SINH HOẠT KÝ TÚC XÁ KHU C THÁNG 12/2020</t>
  </si>
  <si>
    <t>THÁNG: 12/2020</t>
  </si>
  <si>
    <t>BẢNG TỔNG HỢP ĐIỆN - NƯỚC SINH HOẠT KÝ TÚC XÁ KHU K THÁNG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</si>
</sst>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0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1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164" fontId="33" fillId="0" borderId="12" xfId="1" applyNumberFormat="1" applyFont="1" applyFill="1" applyBorder="1" applyAlignment="1">
      <alignment horizontal="left" vertical="top"/>
    </xf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>
      <alignment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49" fillId="6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24" fillId="0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/>
    </xf>
    <xf numFmtId="43" fontId="34" fillId="0" borderId="0" xfId="0" applyNumberFormat="1" applyFont="1"/>
    <xf numFmtId="2" fontId="9" fillId="3" borderId="2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164" fontId="35" fillId="0" borderId="0" xfId="1" applyNumberFormat="1" applyFont="1" applyAlignment="1">
      <alignment horizontal="center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1945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4340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workbookViewId="0">
      <selection activeCell="R26" sqref="R26"/>
    </sheetView>
  </sheetViews>
  <sheetFormatPr defaultColWidth="9.140625" defaultRowHeight="16.5"/>
  <cols>
    <col min="1" max="1" width="8.42578125" style="65" customWidth="1"/>
    <col min="2" max="2" width="6.85546875" style="237" customWidth="1"/>
    <col min="3" max="3" width="9.5703125" style="65" customWidth="1"/>
    <col min="4" max="4" width="6.85546875" style="237" customWidth="1"/>
    <col min="5" max="5" width="10.140625" style="65" customWidth="1"/>
    <col min="6" max="6" width="8.7109375" style="237" customWidth="1"/>
    <col min="7" max="7" width="9.42578125" style="65" customWidth="1"/>
    <col min="8" max="8" width="7.5703125" style="237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>
      <c r="A1" s="64" t="s">
        <v>67</v>
      </c>
      <c r="C1" s="64"/>
      <c r="E1" s="64"/>
      <c r="G1" s="65" t="s">
        <v>68</v>
      </c>
    </row>
    <row r="2" spans="1:29">
      <c r="B2" s="235" t="s">
        <v>69</v>
      </c>
      <c r="C2" s="68"/>
      <c r="D2" s="235"/>
      <c r="H2" s="237" t="s">
        <v>70</v>
      </c>
    </row>
    <row r="3" spans="1:29">
      <c r="B3" s="235"/>
      <c r="C3" s="68"/>
      <c r="D3" s="235"/>
    </row>
    <row r="4" spans="1:29" ht="19.5">
      <c r="E4" s="69"/>
      <c r="F4" s="236"/>
      <c r="G4" s="69"/>
      <c r="H4" s="236" t="s">
        <v>71</v>
      </c>
      <c r="I4" s="69"/>
      <c r="J4" s="69"/>
      <c r="K4" s="69"/>
      <c r="L4" s="69"/>
      <c r="M4" s="54"/>
    </row>
    <row r="5" spans="1:29" ht="19.5">
      <c r="E5" s="69"/>
      <c r="F5" s="256" t="s">
        <v>311</v>
      </c>
      <c r="G5" s="256"/>
      <c r="H5" s="256"/>
      <c r="I5" s="256"/>
      <c r="J5" s="69"/>
      <c r="K5" s="69"/>
      <c r="L5" s="69"/>
      <c r="M5" s="54"/>
    </row>
    <row r="6" spans="1:29" ht="17.25" thickBot="1">
      <c r="E6" s="54"/>
      <c r="F6" s="235"/>
      <c r="G6" s="54"/>
      <c r="H6" s="235"/>
      <c r="I6" s="54"/>
      <c r="J6" s="54"/>
      <c r="K6" s="54"/>
      <c r="L6" s="54"/>
      <c r="M6" s="54"/>
    </row>
    <row r="7" spans="1:29">
      <c r="A7" s="238" t="s">
        <v>72</v>
      </c>
      <c r="B7" s="238" t="s">
        <v>73</v>
      </c>
      <c r="C7" s="238" t="s">
        <v>72</v>
      </c>
      <c r="D7" s="238" t="s">
        <v>73</v>
      </c>
      <c r="E7" s="238" t="s">
        <v>72</v>
      </c>
      <c r="F7" s="238" t="s">
        <v>73</v>
      </c>
      <c r="G7" s="238" t="s">
        <v>72</v>
      </c>
      <c r="H7" s="238" t="s">
        <v>73</v>
      </c>
      <c r="I7" s="238" t="s">
        <v>72</v>
      </c>
      <c r="J7" s="238" t="s">
        <v>73</v>
      </c>
      <c r="K7" s="239" t="s">
        <v>72</v>
      </c>
      <c r="L7" s="238" t="s">
        <v>73</v>
      </c>
      <c r="M7" s="239" t="s">
        <v>72</v>
      </c>
      <c r="N7" s="238" t="s">
        <v>73</v>
      </c>
      <c r="P7" s="66"/>
      <c r="S7" s="66"/>
    </row>
    <row r="8" spans="1:29">
      <c r="A8" s="240" t="s">
        <v>74</v>
      </c>
      <c r="B8" s="244">
        <v>6</v>
      </c>
      <c r="C8" s="241" t="s">
        <v>75</v>
      </c>
      <c r="D8" s="245">
        <v>4</v>
      </c>
      <c r="E8" s="241" t="s">
        <v>76</v>
      </c>
      <c r="F8" s="244">
        <v>6</v>
      </c>
      <c r="G8" s="241" t="s">
        <v>77</v>
      </c>
      <c r="H8" s="245">
        <v>6</v>
      </c>
      <c r="I8" s="241" t="s">
        <v>78</v>
      </c>
      <c r="J8" s="244">
        <v>1</v>
      </c>
      <c r="K8" s="241" t="s">
        <v>79</v>
      </c>
      <c r="L8" s="245">
        <v>0</v>
      </c>
      <c r="M8" s="241" t="s">
        <v>80</v>
      </c>
      <c r="N8" s="241">
        <v>0</v>
      </c>
      <c r="P8" s="231" t="s">
        <v>74</v>
      </c>
      <c r="Q8" s="231">
        <v>3</v>
      </c>
      <c r="R8" s="231" t="s">
        <v>75</v>
      </c>
      <c r="S8" s="231">
        <v>4</v>
      </c>
      <c r="T8" s="231" t="s">
        <v>76</v>
      </c>
      <c r="U8" s="231">
        <v>4</v>
      </c>
      <c r="V8" s="231" t="s">
        <v>84</v>
      </c>
      <c r="W8" s="231">
        <v>5</v>
      </c>
      <c r="X8" s="207"/>
      <c r="Y8" s="207">
        <v>0</v>
      </c>
      <c r="Z8" s="207" t="s">
        <v>79</v>
      </c>
      <c r="AA8" s="207">
        <v>6</v>
      </c>
      <c r="AB8" s="207" t="s">
        <v>80</v>
      </c>
      <c r="AC8" s="207">
        <v>0</v>
      </c>
    </row>
    <row r="9" spans="1:29">
      <c r="A9" s="240" t="s">
        <v>81</v>
      </c>
      <c r="B9" s="244">
        <v>6</v>
      </c>
      <c r="C9" s="241" t="s">
        <v>82</v>
      </c>
      <c r="D9" s="245">
        <v>5</v>
      </c>
      <c r="E9" s="241" t="s">
        <v>189</v>
      </c>
      <c r="F9" s="244">
        <v>3</v>
      </c>
      <c r="G9" s="241" t="s">
        <v>84</v>
      </c>
      <c r="H9" s="245">
        <v>6</v>
      </c>
      <c r="I9" s="241" t="s">
        <v>85</v>
      </c>
      <c r="J9" s="244">
        <v>1</v>
      </c>
      <c r="K9" s="241" t="s">
        <v>86</v>
      </c>
      <c r="L9" s="245">
        <v>0</v>
      </c>
      <c r="M9" s="241" t="s">
        <v>87</v>
      </c>
      <c r="N9" s="241">
        <v>0</v>
      </c>
      <c r="P9" s="231" t="s">
        <v>81</v>
      </c>
      <c r="Q9" s="231">
        <v>3</v>
      </c>
      <c r="R9" s="231" t="s">
        <v>82</v>
      </c>
      <c r="S9" s="231">
        <v>2</v>
      </c>
      <c r="T9" s="231" t="s">
        <v>189</v>
      </c>
      <c r="U9" s="231">
        <v>3</v>
      </c>
      <c r="V9" s="231" t="s">
        <v>105</v>
      </c>
      <c r="W9" s="231">
        <v>3</v>
      </c>
      <c r="X9" s="212"/>
      <c r="Y9" s="207">
        <v>0</v>
      </c>
      <c r="Z9" s="207" t="s">
        <v>86</v>
      </c>
      <c r="AA9" s="207">
        <v>6</v>
      </c>
      <c r="AB9" s="212" t="s">
        <v>87</v>
      </c>
      <c r="AC9" s="212">
        <v>0</v>
      </c>
    </row>
    <row r="10" spans="1:29">
      <c r="A10" s="240" t="s">
        <v>88</v>
      </c>
      <c r="B10" s="244">
        <v>4</v>
      </c>
      <c r="C10" s="241" t="s">
        <v>197</v>
      </c>
      <c r="D10" s="245">
        <v>6</v>
      </c>
      <c r="E10" s="241" t="s">
        <v>83</v>
      </c>
      <c r="F10" s="244">
        <v>6</v>
      </c>
      <c r="G10" s="241" t="s">
        <v>91</v>
      </c>
      <c r="H10" s="245">
        <v>11</v>
      </c>
      <c r="I10" s="241" t="s">
        <v>92</v>
      </c>
      <c r="J10" s="244">
        <v>8</v>
      </c>
      <c r="K10" s="241" t="s">
        <v>93</v>
      </c>
      <c r="L10" s="245">
        <v>0</v>
      </c>
      <c r="M10" s="241" t="s">
        <v>94</v>
      </c>
      <c r="N10" s="241">
        <v>0</v>
      </c>
      <c r="P10" s="231" t="s">
        <v>88</v>
      </c>
      <c r="Q10" s="231">
        <v>4</v>
      </c>
      <c r="R10" s="231" t="s">
        <v>197</v>
      </c>
      <c r="S10" s="231">
        <v>2</v>
      </c>
      <c r="T10" s="231" t="s">
        <v>83</v>
      </c>
      <c r="U10" s="231">
        <v>2</v>
      </c>
      <c r="V10" s="231" t="s">
        <v>112</v>
      </c>
      <c r="W10" s="231">
        <v>5</v>
      </c>
      <c r="X10" s="212"/>
      <c r="Y10" s="207">
        <v>0</v>
      </c>
      <c r="Z10" s="207" t="s">
        <v>93</v>
      </c>
      <c r="AA10" s="207">
        <v>0</v>
      </c>
      <c r="AB10" s="212" t="s">
        <v>94</v>
      </c>
      <c r="AC10" s="212">
        <v>0</v>
      </c>
    </row>
    <row r="11" spans="1:29">
      <c r="A11" s="240" t="s">
        <v>95</v>
      </c>
      <c r="B11" s="244">
        <v>2</v>
      </c>
      <c r="C11" s="241" t="s">
        <v>89</v>
      </c>
      <c r="D11" s="245">
        <v>6</v>
      </c>
      <c r="E11" s="241" t="s">
        <v>90</v>
      </c>
      <c r="F11" s="244">
        <v>0</v>
      </c>
      <c r="G11" s="241" t="s">
        <v>98</v>
      </c>
      <c r="H11" s="245">
        <v>6</v>
      </c>
      <c r="I11" s="241" t="s">
        <v>99</v>
      </c>
      <c r="J11" s="244">
        <v>4</v>
      </c>
      <c r="K11" s="241" t="s">
        <v>100</v>
      </c>
      <c r="L11" s="245">
        <v>0</v>
      </c>
      <c r="M11" s="241" t="s">
        <v>101</v>
      </c>
      <c r="N11" s="241">
        <v>0</v>
      </c>
      <c r="P11" s="231" t="s">
        <v>95</v>
      </c>
      <c r="Q11" s="231">
        <v>4</v>
      </c>
      <c r="R11" s="231" t="s">
        <v>89</v>
      </c>
      <c r="S11" s="231">
        <v>5</v>
      </c>
      <c r="T11" s="231" t="s">
        <v>90</v>
      </c>
      <c r="U11" s="231">
        <v>2</v>
      </c>
      <c r="V11" s="231" t="s">
        <v>124</v>
      </c>
      <c r="W11" s="231">
        <v>6</v>
      </c>
      <c r="X11" s="212"/>
      <c r="Y11" s="207">
        <v>0</v>
      </c>
      <c r="Z11" s="207" t="s">
        <v>100</v>
      </c>
      <c r="AA11" s="207">
        <v>6</v>
      </c>
      <c r="AB11" s="212" t="s">
        <v>101</v>
      </c>
      <c r="AC11" s="212">
        <v>0</v>
      </c>
    </row>
    <row r="12" spans="1:29">
      <c r="A12" s="240" t="s">
        <v>102</v>
      </c>
      <c r="B12" s="244">
        <v>5</v>
      </c>
      <c r="C12" s="241" t="s">
        <v>96</v>
      </c>
      <c r="D12" s="245">
        <v>5</v>
      </c>
      <c r="E12" s="241" t="s">
        <v>97</v>
      </c>
      <c r="F12" s="244">
        <v>0</v>
      </c>
      <c r="G12" s="241" t="s">
        <v>105</v>
      </c>
      <c r="H12" s="245">
        <v>7</v>
      </c>
      <c r="I12" s="241" t="s">
        <v>106</v>
      </c>
      <c r="J12" s="244">
        <v>4</v>
      </c>
      <c r="K12" s="241" t="s">
        <v>107</v>
      </c>
      <c r="L12" s="245">
        <v>0</v>
      </c>
      <c r="M12" s="241" t="s">
        <v>108</v>
      </c>
      <c r="N12" s="241">
        <v>0</v>
      </c>
      <c r="P12" s="231" t="s">
        <v>102</v>
      </c>
      <c r="Q12" s="231">
        <v>6</v>
      </c>
      <c r="R12" s="231" t="s">
        <v>96</v>
      </c>
      <c r="S12" s="231">
        <v>3</v>
      </c>
      <c r="T12" s="231" t="s">
        <v>97</v>
      </c>
      <c r="U12" s="231">
        <v>6</v>
      </c>
      <c r="V12" s="231" t="s">
        <v>139</v>
      </c>
      <c r="W12" s="231">
        <v>5</v>
      </c>
      <c r="X12" s="212"/>
      <c r="Y12" s="207">
        <v>4</v>
      </c>
      <c r="Z12" s="207" t="s">
        <v>107</v>
      </c>
      <c r="AA12" s="207">
        <v>4</v>
      </c>
      <c r="AB12" s="212" t="s">
        <v>108</v>
      </c>
      <c r="AC12" s="212">
        <v>0</v>
      </c>
    </row>
    <row r="13" spans="1:29">
      <c r="A13" s="240" t="s">
        <v>109</v>
      </c>
      <c r="B13" s="244">
        <v>6</v>
      </c>
      <c r="C13" s="241" t="s">
        <v>103</v>
      </c>
      <c r="D13" s="245">
        <v>6</v>
      </c>
      <c r="E13" s="241" t="s">
        <v>104</v>
      </c>
      <c r="F13" s="244">
        <v>5</v>
      </c>
      <c r="G13" s="241" t="s">
        <v>112</v>
      </c>
      <c r="H13" s="245">
        <v>6</v>
      </c>
      <c r="I13" s="241" t="s">
        <v>113</v>
      </c>
      <c r="J13" s="244">
        <v>2</v>
      </c>
      <c r="K13" s="241" t="s">
        <v>114</v>
      </c>
      <c r="L13" s="245">
        <v>4</v>
      </c>
      <c r="M13" s="241" t="s">
        <v>115</v>
      </c>
      <c r="N13" s="241">
        <v>0</v>
      </c>
      <c r="P13" s="231" t="s">
        <v>109</v>
      </c>
      <c r="Q13" s="231">
        <v>6</v>
      </c>
      <c r="R13" s="231" t="s">
        <v>103</v>
      </c>
      <c r="S13" s="231">
        <v>0</v>
      </c>
      <c r="T13" s="231" t="s">
        <v>104</v>
      </c>
      <c r="U13" s="231">
        <v>6</v>
      </c>
      <c r="V13" s="231"/>
      <c r="W13" s="231"/>
      <c r="X13" s="212"/>
      <c r="Y13" s="207">
        <v>4</v>
      </c>
      <c r="Z13" s="207" t="s">
        <v>114</v>
      </c>
      <c r="AA13" s="207">
        <v>0</v>
      </c>
      <c r="AB13" s="212" t="s">
        <v>115</v>
      </c>
      <c r="AC13" s="212">
        <v>0</v>
      </c>
    </row>
    <row r="14" spans="1:29">
      <c r="A14" s="240" t="s">
        <v>116</v>
      </c>
      <c r="B14" s="244">
        <v>6</v>
      </c>
      <c r="C14" s="241" t="s">
        <v>110</v>
      </c>
      <c r="D14" s="245">
        <v>5</v>
      </c>
      <c r="E14" s="241" t="s">
        <v>111</v>
      </c>
      <c r="F14" s="244">
        <v>5</v>
      </c>
      <c r="G14" s="241" t="s">
        <v>119</v>
      </c>
      <c r="H14" s="245">
        <v>6</v>
      </c>
      <c r="I14" s="241" t="s">
        <v>120</v>
      </c>
      <c r="J14" s="244">
        <v>4</v>
      </c>
      <c r="K14" s="241" t="s">
        <v>121</v>
      </c>
      <c r="L14" s="245">
        <v>6</v>
      </c>
      <c r="M14" s="241"/>
      <c r="N14" s="241"/>
      <c r="P14" s="231" t="s">
        <v>116</v>
      </c>
      <c r="Q14" s="231">
        <v>5</v>
      </c>
      <c r="R14" s="231" t="s">
        <v>110</v>
      </c>
      <c r="S14" s="231">
        <v>3</v>
      </c>
      <c r="T14" s="231" t="s">
        <v>111</v>
      </c>
      <c r="U14" s="231">
        <v>5</v>
      </c>
      <c r="V14" s="231"/>
      <c r="W14" s="231"/>
      <c r="X14" s="212"/>
      <c r="Y14" s="207">
        <v>4</v>
      </c>
      <c r="Z14" s="207" t="s">
        <v>121</v>
      </c>
      <c r="AA14" s="207">
        <v>2</v>
      </c>
      <c r="AB14" s="212"/>
      <c r="AC14" s="212"/>
    </row>
    <row r="15" spans="1:29">
      <c r="A15" s="240" t="s">
        <v>122</v>
      </c>
      <c r="B15" s="244">
        <v>5</v>
      </c>
      <c r="C15" s="241" t="s">
        <v>117</v>
      </c>
      <c r="D15" s="245">
        <v>6</v>
      </c>
      <c r="E15" s="241" t="s">
        <v>118</v>
      </c>
      <c r="F15" s="244">
        <v>6</v>
      </c>
      <c r="G15" s="241" t="s">
        <v>124</v>
      </c>
      <c r="H15" s="245">
        <v>6</v>
      </c>
      <c r="I15" s="241" t="s">
        <v>125</v>
      </c>
      <c r="J15" s="244">
        <v>5</v>
      </c>
      <c r="K15" s="241" t="s">
        <v>126</v>
      </c>
      <c r="L15" s="245">
        <v>0</v>
      </c>
      <c r="M15" s="241"/>
      <c r="N15" s="241"/>
      <c r="P15" s="231" t="s">
        <v>122</v>
      </c>
      <c r="Q15" s="231">
        <v>3</v>
      </c>
      <c r="R15" s="231" t="s">
        <v>117</v>
      </c>
      <c r="S15" s="231">
        <v>5</v>
      </c>
      <c r="T15" s="231" t="s">
        <v>118</v>
      </c>
      <c r="U15" s="231">
        <v>4</v>
      </c>
      <c r="V15" s="231"/>
      <c r="W15" s="231"/>
      <c r="X15" s="212"/>
      <c r="Y15" s="207">
        <v>4</v>
      </c>
      <c r="Z15" s="207" t="s">
        <v>126</v>
      </c>
      <c r="AA15" s="207">
        <v>7</v>
      </c>
      <c r="AB15" s="212"/>
      <c r="AC15" s="212"/>
    </row>
    <row r="16" spans="1:29">
      <c r="A16" s="240" t="s">
        <v>127</v>
      </c>
      <c r="B16" s="244">
        <v>5</v>
      </c>
      <c r="C16" s="241" t="s">
        <v>123</v>
      </c>
      <c r="D16" s="245">
        <v>6</v>
      </c>
      <c r="E16" s="241" t="s">
        <v>198</v>
      </c>
      <c r="F16" s="244">
        <v>6</v>
      </c>
      <c r="G16" s="241" t="s">
        <v>129</v>
      </c>
      <c r="H16" s="245">
        <v>5</v>
      </c>
      <c r="I16" s="241" t="s">
        <v>130</v>
      </c>
      <c r="J16" s="244">
        <v>5</v>
      </c>
      <c r="K16" s="241" t="s">
        <v>131</v>
      </c>
      <c r="L16" s="245">
        <v>0</v>
      </c>
      <c r="M16" s="241"/>
      <c r="N16" s="241"/>
      <c r="P16" s="231" t="s">
        <v>127</v>
      </c>
      <c r="Q16" s="231">
        <v>4</v>
      </c>
      <c r="R16" s="231" t="s">
        <v>123</v>
      </c>
      <c r="S16" s="231">
        <v>5</v>
      </c>
      <c r="T16" s="231" t="s">
        <v>198</v>
      </c>
      <c r="U16" s="231">
        <v>5</v>
      </c>
      <c r="V16" s="231"/>
      <c r="W16" s="231"/>
      <c r="X16" s="212"/>
      <c r="Y16" s="207">
        <v>0</v>
      </c>
      <c r="Z16" s="207" t="s">
        <v>131</v>
      </c>
      <c r="AA16" s="207">
        <v>0</v>
      </c>
      <c r="AB16" s="212"/>
      <c r="AC16" s="212"/>
    </row>
    <row r="17" spans="1:29">
      <c r="A17" s="240" t="s">
        <v>132</v>
      </c>
      <c r="B17" s="244">
        <v>1</v>
      </c>
      <c r="C17" s="241" t="s">
        <v>128</v>
      </c>
      <c r="D17" s="245">
        <v>3</v>
      </c>
      <c r="E17" s="241" t="s">
        <v>255</v>
      </c>
      <c r="F17" s="244">
        <v>5</v>
      </c>
      <c r="G17" s="241" t="s">
        <v>134</v>
      </c>
      <c r="H17" s="245">
        <v>6</v>
      </c>
      <c r="I17" s="241" t="s">
        <v>135</v>
      </c>
      <c r="J17" s="244">
        <v>2</v>
      </c>
      <c r="K17" s="241" t="s">
        <v>136</v>
      </c>
      <c r="L17" s="245">
        <v>0</v>
      </c>
      <c r="M17" s="241"/>
      <c r="N17" s="241"/>
      <c r="P17" s="231" t="s">
        <v>132</v>
      </c>
      <c r="Q17" s="231">
        <v>3</v>
      </c>
      <c r="R17" s="231" t="s">
        <v>128</v>
      </c>
      <c r="S17" s="231">
        <v>6</v>
      </c>
      <c r="T17" s="231" t="s">
        <v>255</v>
      </c>
      <c r="U17" s="231">
        <v>4</v>
      </c>
      <c r="V17" s="231"/>
      <c r="W17" s="231"/>
      <c r="X17" s="212"/>
      <c r="Y17" s="207">
        <v>0</v>
      </c>
      <c r="Z17" s="207" t="s">
        <v>136</v>
      </c>
      <c r="AA17" s="207">
        <v>0</v>
      </c>
      <c r="AB17" s="212"/>
      <c r="AC17" s="212"/>
    </row>
    <row r="18" spans="1:29">
      <c r="A18" s="240" t="s">
        <v>137</v>
      </c>
      <c r="B18" s="244">
        <v>2</v>
      </c>
      <c r="C18" s="241" t="s">
        <v>133</v>
      </c>
      <c r="D18" s="245">
        <v>6</v>
      </c>
      <c r="E18" s="241" t="s">
        <v>256</v>
      </c>
      <c r="F18" s="244">
        <v>0</v>
      </c>
      <c r="G18" s="241" t="s">
        <v>139</v>
      </c>
      <c r="H18" s="245">
        <v>6</v>
      </c>
      <c r="I18" s="241" t="s">
        <v>140</v>
      </c>
      <c r="J18" s="244">
        <v>3</v>
      </c>
      <c r="K18" s="241" t="s">
        <v>141</v>
      </c>
      <c r="L18" s="245">
        <v>0</v>
      </c>
      <c r="M18" s="241"/>
      <c r="N18" s="241"/>
      <c r="P18" s="231" t="s">
        <v>137</v>
      </c>
      <c r="Q18" s="231">
        <v>5</v>
      </c>
      <c r="R18" s="231" t="s">
        <v>133</v>
      </c>
      <c r="S18" s="231">
        <v>4</v>
      </c>
      <c r="T18" s="231" t="s">
        <v>256</v>
      </c>
      <c r="U18" s="231">
        <v>6</v>
      </c>
      <c r="V18" s="231"/>
      <c r="W18" s="231"/>
      <c r="X18" s="212"/>
      <c r="Y18" s="207">
        <v>6</v>
      </c>
      <c r="Z18" s="207" t="s">
        <v>141</v>
      </c>
      <c r="AA18" s="207">
        <v>4</v>
      </c>
      <c r="AB18" s="212"/>
      <c r="AC18" s="212"/>
    </row>
    <row r="19" spans="1:29">
      <c r="A19" s="240" t="s">
        <v>142</v>
      </c>
      <c r="B19" s="244">
        <v>0</v>
      </c>
      <c r="C19" s="241" t="s">
        <v>138</v>
      </c>
      <c r="D19" s="245">
        <v>5</v>
      </c>
      <c r="E19" s="241" t="s">
        <v>217</v>
      </c>
      <c r="F19" s="244">
        <v>0</v>
      </c>
      <c r="G19" s="241"/>
      <c r="H19" s="241"/>
      <c r="I19" s="241"/>
      <c r="J19" s="241"/>
      <c r="K19" s="241"/>
      <c r="L19" s="241"/>
      <c r="M19" s="241"/>
      <c r="N19" s="241"/>
      <c r="P19" s="231" t="s">
        <v>142</v>
      </c>
      <c r="Q19" s="231">
        <v>4</v>
      </c>
      <c r="R19" s="231" t="s">
        <v>138</v>
      </c>
      <c r="S19" s="231">
        <v>5</v>
      </c>
      <c r="T19" s="231" t="s">
        <v>217</v>
      </c>
      <c r="U19" s="231">
        <v>0</v>
      </c>
      <c r="V19" s="231"/>
      <c r="W19" s="231"/>
      <c r="X19" s="212"/>
      <c r="Y19" s="212"/>
      <c r="Z19" s="212"/>
      <c r="AA19" s="212"/>
      <c r="AB19" s="212"/>
      <c r="AC19" s="212"/>
    </row>
    <row r="20" spans="1:29">
      <c r="A20" s="240"/>
      <c r="B20" s="241"/>
      <c r="C20" s="241" t="s">
        <v>143</v>
      </c>
      <c r="D20" s="245">
        <v>5</v>
      </c>
      <c r="E20" s="241" t="s">
        <v>257</v>
      </c>
      <c r="F20" s="244">
        <v>0</v>
      </c>
      <c r="G20" s="241"/>
      <c r="H20" s="241"/>
      <c r="I20" s="241"/>
      <c r="J20" s="241"/>
      <c r="K20" s="241"/>
      <c r="L20" s="241"/>
      <c r="M20" s="241"/>
      <c r="N20" s="241"/>
      <c r="P20" s="231"/>
      <c r="Q20" s="231"/>
      <c r="R20" s="231" t="s">
        <v>143</v>
      </c>
      <c r="S20" s="231">
        <v>3</v>
      </c>
      <c r="T20" s="231" t="s">
        <v>257</v>
      </c>
      <c r="U20" s="231">
        <v>6</v>
      </c>
      <c r="V20" s="231"/>
      <c r="W20" s="231"/>
      <c r="X20" s="212"/>
      <c r="Y20" s="212"/>
      <c r="Z20" s="212"/>
      <c r="AA20" s="212"/>
      <c r="AB20" s="212"/>
      <c r="AC20" s="212"/>
    </row>
    <row r="21" spans="1:29" ht="17.25" thickBot="1">
      <c r="A21" s="240"/>
      <c r="B21" s="241"/>
      <c r="C21" s="241" t="s">
        <v>258</v>
      </c>
      <c r="D21" s="245">
        <v>0</v>
      </c>
      <c r="E21" s="241" t="s">
        <v>259</v>
      </c>
      <c r="F21" s="244">
        <v>5</v>
      </c>
      <c r="G21" s="241"/>
      <c r="H21" s="241"/>
      <c r="I21" s="241"/>
      <c r="J21" s="241"/>
      <c r="K21" s="241"/>
      <c r="L21" s="241"/>
      <c r="M21" s="241"/>
      <c r="N21" s="241"/>
      <c r="P21" s="231"/>
      <c r="Q21" s="231"/>
      <c r="R21" s="231" t="s">
        <v>258</v>
      </c>
      <c r="S21" s="231">
        <v>7</v>
      </c>
      <c r="T21" s="231" t="s">
        <v>259</v>
      </c>
      <c r="U21" s="231">
        <v>8</v>
      </c>
      <c r="V21" s="231"/>
      <c r="W21" s="231"/>
      <c r="X21" s="213"/>
      <c r="Y21" s="213"/>
      <c r="Z21" s="213"/>
      <c r="AA21" s="213"/>
      <c r="AB21" s="213"/>
      <c r="AC21" s="213"/>
    </row>
    <row r="22" spans="1:29">
      <c r="A22" s="257"/>
      <c r="B22" s="257"/>
      <c r="C22" s="241"/>
      <c r="D22" s="241"/>
      <c r="E22" s="242" t="s">
        <v>219</v>
      </c>
      <c r="F22" s="241">
        <v>0</v>
      </c>
      <c r="G22" s="241"/>
      <c r="H22" s="241"/>
      <c r="I22" s="241"/>
      <c r="J22" s="241"/>
      <c r="K22" s="241"/>
      <c r="L22" s="241"/>
      <c r="M22" s="241"/>
      <c r="N22" s="241"/>
      <c r="P22" s="66"/>
      <c r="S22" s="66"/>
    </row>
    <row r="23" spans="1:29">
      <c r="A23" s="243"/>
      <c r="B23" s="243"/>
      <c r="C23" s="241"/>
      <c r="D23" s="241"/>
      <c r="E23" s="242" t="s">
        <v>269</v>
      </c>
      <c r="F23" s="241">
        <v>0</v>
      </c>
      <c r="G23" s="241"/>
      <c r="H23" s="241"/>
      <c r="I23" s="241"/>
      <c r="J23" s="241"/>
      <c r="K23" s="241"/>
      <c r="L23" s="241"/>
      <c r="M23" s="241"/>
      <c r="N23" s="241"/>
      <c r="P23" s="66"/>
      <c r="S23" s="66"/>
    </row>
    <row r="24" spans="1:29">
      <c r="A24" s="64"/>
      <c r="B24" s="237">
        <f>SUM(B8:B23)</f>
        <v>48</v>
      </c>
      <c r="C24" s="64"/>
      <c r="D24" s="237">
        <f>SUM(D8:D23)</f>
        <v>68</v>
      </c>
      <c r="E24" s="64"/>
      <c r="F24" s="237">
        <f>SUM(F8:F23)</f>
        <v>47</v>
      </c>
      <c r="G24" s="64"/>
      <c r="H24" s="237">
        <f>SUM(H8:H23)</f>
        <v>71</v>
      </c>
      <c r="I24" s="64"/>
      <c r="J24" s="64">
        <f t="shared" ref="J24:N24" si="0">SUM(J8:J23)</f>
        <v>39</v>
      </c>
      <c r="K24" s="64"/>
      <c r="L24" s="64">
        <f t="shared" si="0"/>
        <v>10</v>
      </c>
      <c r="M24" s="64"/>
      <c r="N24" s="64">
        <f t="shared" si="0"/>
        <v>0</v>
      </c>
      <c r="P24" s="66"/>
      <c r="S24" s="66"/>
    </row>
    <row r="25" spans="1:29">
      <c r="B25" s="258"/>
      <c r="C25" s="258"/>
      <c r="D25" s="258"/>
      <c r="E25" s="258"/>
      <c r="F25" s="258"/>
      <c r="G25" s="64" t="s">
        <v>308</v>
      </c>
      <c r="I25" s="64"/>
      <c r="J25" s="64"/>
      <c r="K25" s="64"/>
      <c r="L25" s="64"/>
      <c r="M25" s="64"/>
    </row>
    <row r="26" spans="1:29">
      <c r="H26" s="255" t="s">
        <v>144</v>
      </c>
      <c r="I26" s="255"/>
      <c r="J26" s="255"/>
      <c r="K26" s="255"/>
      <c r="L26" s="54"/>
      <c r="M26" s="54"/>
      <c r="S26" s="66"/>
    </row>
    <row r="27" spans="1:29">
      <c r="H27" s="235"/>
      <c r="I27" s="255"/>
      <c r="J27" s="255"/>
      <c r="K27" s="68"/>
      <c r="L27" s="54"/>
      <c r="M27" s="54"/>
    </row>
    <row r="28" spans="1:29">
      <c r="H28" s="235"/>
      <c r="I28" s="54"/>
      <c r="J28" s="54"/>
      <c r="K28" s="54"/>
      <c r="L28" s="54"/>
      <c r="M28" s="54"/>
      <c r="Q28" s="67"/>
      <c r="R28" s="67"/>
    </row>
    <row r="29" spans="1:29">
      <c r="H29" s="255"/>
      <c r="I29" s="255"/>
      <c r="J29" s="255"/>
      <c r="K29" s="68"/>
      <c r="L29" s="54"/>
      <c r="P29" s="70"/>
      <c r="Q29" s="67"/>
      <c r="R29" s="67"/>
    </row>
    <row r="30" spans="1:29" ht="24" customHeight="1">
      <c r="I30" s="68"/>
      <c r="J30" s="68"/>
      <c r="K30" s="68"/>
      <c r="P30" s="71"/>
      <c r="Q30" s="67"/>
      <c r="R30" s="67"/>
    </row>
    <row r="31" spans="1:29" ht="21" customHeight="1">
      <c r="P31" s="71"/>
      <c r="Q31" s="67"/>
      <c r="R31" s="67"/>
    </row>
    <row r="32" spans="1:29">
      <c r="P32" s="71"/>
      <c r="Q32" s="67"/>
      <c r="R32" s="67"/>
    </row>
    <row r="33" spans="16:18">
      <c r="P33" s="71"/>
      <c r="Q33" s="67"/>
      <c r="R33" s="67"/>
    </row>
    <row r="34" spans="16:18" ht="1.5" customHeight="1"/>
    <row r="35" spans="16:18" ht="6" customHeight="1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view="pageBreakPreview" zoomScaleNormal="115" zoomScaleSheetLayoutView="100" zoomScalePageLayoutView="115" workbookViewId="0">
      <selection activeCell="AH8" sqref="AH8"/>
    </sheetView>
  </sheetViews>
  <sheetFormatPr defaultRowHeight="15"/>
  <cols>
    <col min="1" max="1" width="11" customWidth="1"/>
    <col min="2" max="3" width="9.85546875" style="184" customWidth="1"/>
    <col min="4" max="4" width="7.140625" style="4" hidden="1" customWidth="1"/>
    <col min="5" max="5" width="11.5703125" style="3" customWidth="1"/>
    <col min="6" max="6" width="14.5703125" style="206" bestFit="1" customWidth="1"/>
    <col min="7" max="7" width="18.42578125" style="3" customWidth="1"/>
    <col min="8" max="8" width="19.28515625" customWidth="1"/>
    <col min="9" max="9" width="13.7109375" style="50" hidden="1" customWidth="1"/>
    <col min="10" max="10" width="11.140625" hidden="1" customWidth="1"/>
    <col min="11" max="11" width="9.28515625" hidden="1" customWidth="1"/>
    <col min="12" max="12" width="10.28515625" hidden="1" customWidth="1"/>
    <col min="13" max="13" width="0" hidden="1" customWidth="1"/>
    <col min="14" max="14" width="9.42578125" hidden="1" customWidth="1"/>
    <col min="15" max="29" width="0" hidden="1" customWidth="1"/>
  </cols>
  <sheetData>
    <row r="1" spans="1:15" ht="15.75">
      <c r="A1" s="260" t="s">
        <v>187</v>
      </c>
      <c r="B1" s="260"/>
      <c r="C1" s="260"/>
      <c r="D1" s="260"/>
      <c r="E1" s="260"/>
      <c r="F1" s="260"/>
      <c r="G1" s="260"/>
      <c r="H1" s="260"/>
      <c r="K1" t="s">
        <v>9</v>
      </c>
      <c r="L1">
        <v>2900</v>
      </c>
    </row>
    <row r="2" spans="1:15" ht="15.75">
      <c r="A2" s="261" t="s">
        <v>188</v>
      </c>
      <c r="B2" s="261"/>
      <c r="C2" s="261"/>
      <c r="D2" s="261"/>
      <c r="E2" s="261"/>
      <c r="F2" s="261"/>
      <c r="G2" s="261"/>
      <c r="H2" s="261"/>
      <c r="K2" t="s">
        <v>10</v>
      </c>
      <c r="L2">
        <v>18000</v>
      </c>
    </row>
    <row r="4" spans="1:15" ht="22.5" customHeight="1">
      <c r="A4" s="262" t="s">
        <v>310</v>
      </c>
      <c r="B4" s="262"/>
      <c r="C4" s="262"/>
      <c r="D4" s="262"/>
      <c r="E4" s="262"/>
      <c r="F4" s="262"/>
      <c r="G4" s="262"/>
      <c r="H4" s="262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13.5" customHeight="1">
      <c r="A5" s="266"/>
      <c r="B5" s="266"/>
      <c r="C5" s="266"/>
      <c r="D5" s="266"/>
      <c r="E5" s="266"/>
      <c r="F5" s="266"/>
      <c r="G5" s="266"/>
      <c r="H5" s="266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190"/>
      <c r="C6" s="190"/>
      <c r="D6" s="77"/>
      <c r="E6" s="78"/>
      <c r="F6" s="204"/>
      <c r="G6" s="114" t="s">
        <v>300</v>
      </c>
      <c r="H6" s="114"/>
      <c r="I6" s="114"/>
      <c r="J6" s="75" t="s">
        <v>62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29</v>
      </c>
      <c r="O6" s="75">
        <f t="shared" ref="O6:O10" si="1">M6/N6</f>
        <v>0.55172413793103448</v>
      </c>
    </row>
    <row r="7" spans="1:15">
      <c r="A7" s="75"/>
      <c r="B7" s="190"/>
      <c r="C7" s="190"/>
      <c r="D7" s="77"/>
      <c r="E7" s="78"/>
      <c r="F7" s="204"/>
      <c r="G7" s="114" t="s">
        <v>302</v>
      </c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20</v>
      </c>
      <c r="O7" s="75">
        <f t="shared" si="1"/>
        <v>2.15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158</v>
      </c>
      <c r="F8" s="205" t="s">
        <v>27</v>
      </c>
      <c r="G8" s="47" t="s">
        <v>28</v>
      </c>
      <c r="H8" s="47" t="s">
        <v>18</v>
      </c>
      <c r="I8" s="81"/>
      <c r="J8" s="75" t="s">
        <v>64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19</v>
      </c>
      <c r="O8" s="75">
        <f t="shared" si="1"/>
        <v>2.6315789473684212</v>
      </c>
    </row>
    <row r="9" spans="1:15" s="2" customFormat="1" ht="23.25" customHeight="1">
      <c r="A9" s="124" t="s">
        <v>220</v>
      </c>
      <c r="B9" s="194"/>
      <c r="C9" s="194"/>
      <c r="D9" s="139"/>
      <c r="E9" s="140"/>
      <c r="F9" s="162"/>
      <c r="G9" s="139"/>
      <c r="H9" s="127">
        <f>SUM(G10:G11)</f>
        <v>452100</v>
      </c>
      <c r="I9" s="142"/>
      <c r="J9" s="120" t="s">
        <v>65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4</v>
      </c>
      <c r="O9" s="120">
        <f t="shared" si="1"/>
        <v>20.75</v>
      </c>
    </row>
    <row r="10" spans="1:15" ht="16.5">
      <c r="A10" s="189" t="s">
        <v>6</v>
      </c>
      <c r="B10" s="189">
        <v>3185</v>
      </c>
      <c r="C10" s="189">
        <v>3254</v>
      </c>
      <c r="D10" s="259">
        <f>VLOOKUP(RIGHT(LEFT(A9,11),4),'so nguoi'!$A$8:$B$21,2,0)</f>
        <v>6</v>
      </c>
      <c r="E10" s="61">
        <f>C10-B10</f>
        <v>69</v>
      </c>
      <c r="F10" s="62">
        <f>E10</f>
        <v>69</v>
      </c>
      <c r="G10" s="152">
        <f>F10*$L$1</f>
        <v>200100</v>
      </c>
      <c r="H10" s="153"/>
      <c r="J10" s="75" t="s">
        <v>66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6</v>
      </c>
      <c r="O10" s="75">
        <f t="shared" si="1"/>
        <v>13</v>
      </c>
    </row>
    <row r="11" spans="1:15" ht="16.5">
      <c r="A11" s="187" t="s">
        <v>7</v>
      </c>
      <c r="B11" s="187">
        <v>1308</v>
      </c>
      <c r="C11" s="187">
        <v>1336</v>
      </c>
      <c r="D11" s="259"/>
      <c r="E11" s="188">
        <f>C11-B11</f>
        <v>28</v>
      </c>
      <c r="F11" s="57">
        <f>IF(D10=0,0,(E11/(D10+D13)*D10))</f>
        <v>14</v>
      </c>
      <c r="G11" s="196">
        <f>F11*$L$2</f>
        <v>252000</v>
      </c>
      <c r="H11" s="158"/>
      <c r="I11" s="232"/>
      <c r="J11" s="233"/>
      <c r="K11" s="233"/>
      <c r="L11" s="233"/>
      <c r="M11" s="75"/>
      <c r="N11" s="75"/>
      <c r="O11" s="75"/>
    </row>
    <row r="12" spans="1:15" s="2" customFormat="1" ht="23.25" customHeight="1">
      <c r="A12" s="159" t="s">
        <v>221</v>
      </c>
      <c r="B12" s="197"/>
      <c r="C12" s="197"/>
      <c r="D12" s="197"/>
      <c r="E12" s="161"/>
      <c r="F12" s="162"/>
      <c r="G12" s="197"/>
      <c r="H12" s="163">
        <f>SUM(G13:G14)</f>
        <v>417300</v>
      </c>
      <c r="I12" s="142"/>
      <c r="J12" s="120"/>
      <c r="K12" s="120"/>
      <c r="L12" s="120"/>
      <c r="M12" s="120"/>
      <c r="N12" s="120"/>
      <c r="O12" s="120"/>
    </row>
    <row r="13" spans="1:15" ht="16.5">
      <c r="A13" s="189" t="s">
        <v>6</v>
      </c>
      <c r="B13" s="189">
        <v>2648</v>
      </c>
      <c r="C13" s="189">
        <v>2705</v>
      </c>
      <c r="D13" s="259">
        <f>VLOOKUP(RIGHT(LEFT(A12,11),4),'so nguoi'!$A$8:$B$21,2,0)</f>
        <v>6</v>
      </c>
      <c r="E13" s="61">
        <f>C13-B13</f>
        <v>57</v>
      </c>
      <c r="F13" s="62">
        <f>E13</f>
        <v>57</v>
      </c>
      <c r="G13" s="152">
        <f>F13*$L$1</f>
        <v>165300</v>
      </c>
      <c r="H13" s="153"/>
      <c r="I13" s="81"/>
      <c r="J13" s="75"/>
      <c r="K13" s="75"/>
      <c r="L13" s="75"/>
      <c r="M13" s="75"/>
      <c r="N13" s="75"/>
      <c r="O13" s="75"/>
    </row>
    <row r="14" spans="1:15" ht="16.5">
      <c r="A14" s="187" t="s">
        <v>7</v>
      </c>
      <c r="B14" s="187">
        <f>B11</f>
        <v>1308</v>
      </c>
      <c r="C14" s="187">
        <f>C11</f>
        <v>1336</v>
      </c>
      <c r="D14" s="259"/>
      <c r="E14" s="188">
        <f>C14-B14</f>
        <v>28</v>
      </c>
      <c r="F14" s="57">
        <f>IF(D13=0,0,(E14/(D13+D10)*D13))</f>
        <v>14</v>
      </c>
      <c r="G14" s="196">
        <f>F14*$L$2</f>
        <v>252000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>
      <c r="A15" s="159" t="s">
        <v>222</v>
      </c>
      <c r="B15" s="197"/>
      <c r="C15" s="197"/>
      <c r="D15" s="197"/>
      <c r="E15" s="161"/>
      <c r="F15" s="162"/>
      <c r="G15" s="197"/>
      <c r="H15" s="163">
        <f>SUM(G16:G17)</f>
        <v>342400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>
      <c r="A16" s="189" t="s">
        <v>6</v>
      </c>
      <c r="B16" s="189">
        <v>2812</v>
      </c>
      <c r="C16" s="189">
        <v>2868</v>
      </c>
      <c r="D16" s="259">
        <f>VLOOKUP(RIGHT(LEFT(A15,11),4),'so nguoi'!$A$8:$B$21,2,0)</f>
        <v>4</v>
      </c>
      <c r="E16" s="61">
        <f>C16-B16</f>
        <v>56</v>
      </c>
      <c r="F16" s="62">
        <f>E16</f>
        <v>56</v>
      </c>
      <c r="G16" s="152">
        <f>F16*$L$1</f>
        <v>162400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>
      <c r="A17" s="187" t="s">
        <v>7</v>
      </c>
      <c r="B17" s="187">
        <v>578</v>
      </c>
      <c r="C17" s="215">
        <v>588</v>
      </c>
      <c r="D17" s="259"/>
      <c r="E17" s="188">
        <f>C17-B17</f>
        <v>10</v>
      </c>
      <c r="F17" s="57">
        <f>E17</f>
        <v>10</v>
      </c>
      <c r="G17" s="196">
        <f>F17*$L$2</f>
        <v>180000</v>
      </c>
      <c r="H17" s="158"/>
      <c r="I17" s="81"/>
      <c r="J17" s="120" t="str">
        <f t="shared" si="2"/>
        <v>Nước</v>
      </c>
      <c r="K17" s="75">
        <f>VLOOKUP(J15,'so nguoi'!$A$8:$B$21,2,0)</f>
        <v>6</v>
      </c>
      <c r="L17" s="75"/>
      <c r="M17" s="75"/>
      <c r="N17" s="75"/>
      <c r="O17" s="75"/>
    </row>
    <row r="18" spans="1:15" s="2" customFormat="1" ht="23.25" customHeight="1">
      <c r="A18" s="159" t="s">
        <v>223</v>
      </c>
      <c r="B18" s="197"/>
      <c r="C18" s="197"/>
      <c r="D18" s="197"/>
      <c r="E18" s="161"/>
      <c r="F18" s="162"/>
      <c r="G18" s="197"/>
      <c r="H18" s="163">
        <f>IF(D19=0,0,IF(D22=0,SUM(G19:G20)+G22,SUM(G19:G20)))</f>
        <v>165071.42857142858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>
      <c r="A19" s="189" t="s">
        <v>6</v>
      </c>
      <c r="B19" s="189">
        <v>3024</v>
      </c>
      <c r="C19" s="189">
        <v>3049</v>
      </c>
      <c r="D19" s="259">
        <f>VLOOKUP(RIGHT(LEFT(A18,11),4),'so nguoi'!$A$8:$B$21,2,0)</f>
        <v>2</v>
      </c>
      <c r="E19" s="61">
        <f>C19-B19</f>
        <v>25</v>
      </c>
      <c r="F19" s="62">
        <f>E19</f>
        <v>25</v>
      </c>
      <c r="G19" s="152">
        <f>F19*$L$1</f>
        <v>72500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>
      <c r="A20" s="187" t="s">
        <v>7</v>
      </c>
      <c r="B20" s="187">
        <v>1200</v>
      </c>
      <c r="C20" s="187">
        <v>1218</v>
      </c>
      <c r="D20" s="259"/>
      <c r="E20" s="188">
        <f>C20-B20</f>
        <v>18</v>
      </c>
      <c r="F20" s="57">
        <f>IF(D19=0,0,(E20/(D19+D22)*D19))</f>
        <v>5.1428571428571432</v>
      </c>
      <c r="G20" s="196">
        <f>F20*$L$2</f>
        <v>92571.42857142858</v>
      </c>
      <c r="H20" s="158"/>
      <c r="I20" s="81"/>
      <c r="J20" s="120" t="str">
        <f t="shared" si="2"/>
        <v>Nước</v>
      </c>
      <c r="K20" s="75">
        <f>VLOOKUP(J18,'so nguoi'!$A$8:$B$21,2,0)</f>
        <v>6</v>
      </c>
      <c r="L20" s="75"/>
      <c r="M20" s="75"/>
      <c r="N20" s="75"/>
      <c r="O20" s="75"/>
    </row>
    <row r="21" spans="1:15" s="2" customFormat="1" ht="23.25" customHeight="1">
      <c r="A21" s="159" t="s">
        <v>224</v>
      </c>
      <c r="B21" s="197"/>
      <c r="C21" s="197"/>
      <c r="D21" s="197"/>
      <c r="E21" s="161"/>
      <c r="F21" s="162"/>
      <c r="G21" s="197"/>
      <c r="H21" s="163">
        <f>IF(D22=0,0,IF(D19=0,SUM(G22:G23)+G19,SUM(G22:G23)))</f>
        <v>379328.57142857148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>
      <c r="A22" s="189" t="s">
        <v>6</v>
      </c>
      <c r="B22" s="189">
        <v>2800</v>
      </c>
      <c r="C22" s="189">
        <v>2851</v>
      </c>
      <c r="D22" s="259">
        <f>VLOOKUP(RIGHT(LEFT(A21,11),4),'so nguoi'!$A$8:$B$21,2,0)</f>
        <v>5</v>
      </c>
      <c r="E22" s="61">
        <f>C22-B22</f>
        <v>51</v>
      </c>
      <c r="F22" s="62">
        <f>E22</f>
        <v>51</v>
      </c>
      <c r="G22" s="152">
        <f>F22*$L$1</f>
        <v>147900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>
      <c r="A23" s="187" t="s">
        <v>7</v>
      </c>
      <c r="B23" s="187">
        <f>B20</f>
        <v>1200</v>
      </c>
      <c r="C23" s="187">
        <f>C20</f>
        <v>1218</v>
      </c>
      <c r="D23" s="259"/>
      <c r="E23" s="188">
        <f>C23-B23</f>
        <v>18</v>
      </c>
      <c r="F23" s="57">
        <f>IF(D22=0,0,(E23/(D22+D19)*D22))</f>
        <v>12.857142857142858</v>
      </c>
      <c r="G23" s="196">
        <f>F23*$L$2</f>
        <v>231428.57142857145</v>
      </c>
      <c r="H23" s="158"/>
      <c r="I23" s="81"/>
      <c r="J23" s="120" t="str">
        <f t="shared" si="2"/>
        <v>Nước</v>
      </c>
      <c r="K23" s="75">
        <f>VLOOKUP(J21,'so nguoi'!$A$8:$B$21,2,0)</f>
        <v>4</v>
      </c>
      <c r="L23" s="75"/>
      <c r="M23" s="75"/>
      <c r="N23" s="75"/>
      <c r="O23" s="75"/>
    </row>
    <row r="24" spans="1:15" s="2" customFormat="1" ht="23.25" customHeight="1">
      <c r="A24" s="159" t="s">
        <v>225</v>
      </c>
      <c r="B24" s="197"/>
      <c r="C24" s="197"/>
      <c r="D24" s="197"/>
      <c r="E24" s="161"/>
      <c r="F24" s="162"/>
      <c r="G24" s="197"/>
      <c r="H24" s="163">
        <f>IF(D25=0,0,IF(D28=0,SUM(G25:G26)+G28,SUM(G25:G26)))</f>
        <v>569700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>
      <c r="A25" s="189" t="s">
        <v>6</v>
      </c>
      <c r="B25" s="189">
        <v>4850</v>
      </c>
      <c r="C25" s="189">
        <v>4913</v>
      </c>
      <c r="D25" s="259">
        <f>VLOOKUP(RIGHT(LEFT(A24,11),4),'so nguoi'!$A$8:$B$21,2,0)</f>
        <v>6</v>
      </c>
      <c r="E25" s="61">
        <f>C25-B25</f>
        <v>63</v>
      </c>
      <c r="F25" s="62">
        <f>E25</f>
        <v>63</v>
      </c>
      <c r="G25" s="152">
        <f>F25*$L$1</f>
        <v>182700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>
      <c r="A26" s="187" t="s">
        <v>7</v>
      </c>
      <c r="B26" s="187">
        <v>1743</v>
      </c>
      <c r="C26" s="187">
        <v>1786</v>
      </c>
      <c r="D26" s="259"/>
      <c r="E26" s="188">
        <f>C26-B26</f>
        <v>43</v>
      </c>
      <c r="F26" s="57">
        <f>IF(D25=0,0,(E26/(D25+D28)*D25))</f>
        <v>21.5</v>
      </c>
      <c r="G26" s="196">
        <f>F26*$L$2</f>
        <v>387000</v>
      </c>
      <c r="H26" s="158"/>
      <c r="I26" s="81"/>
      <c r="J26" s="120" t="str">
        <f t="shared" si="2"/>
        <v>Nước</v>
      </c>
      <c r="K26" s="75">
        <f>VLOOKUP(J24,'so nguoi'!$A$8:$B$21,2,0)</f>
        <v>2</v>
      </c>
      <c r="L26" s="75"/>
      <c r="M26" s="75"/>
      <c r="N26" s="75"/>
      <c r="O26" s="75"/>
    </row>
    <row r="27" spans="1:15" s="2" customFormat="1" ht="23.25" customHeight="1">
      <c r="A27" s="159" t="s">
        <v>226</v>
      </c>
      <c r="B27" s="197"/>
      <c r="C27" s="197"/>
      <c r="D27" s="197"/>
      <c r="E27" s="161"/>
      <c r="F27" s="162"/>
      <c r="G27" s="197"/>
      <c r="H27" s="230">
        <f>IF(D28=0,0,IF(D25=0,SUM(G28:G29)+G25,SUM(G28:G29)))</f>
        <v>601600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>
      <c r="A28" s="187" t="s">
        <v>6</v>
      </c>
      <c r="B28" s="187">
        <v>3702</v>
      </c>
      <c r="C28" s="187">
        <v>3776</v>
      </c>
      <c r="D28" s="259">
        <f>VLOOKUP(RIGHT(LEFT(A27,11),4),'so nguoi'!$A$8:$B$21,2,0)</f>
        <v>6</v>
      </c>
      <c r="E28" s="61">
        <f>C28-B28</f>
        <v>74</v>
      </c>
      <c r="F28" s="62">
        <f>E28</f>
        <v>74</v>
      </c>
      <c r="G28" s="152">
        <f>F28*$L$1</f>
        <v>214600</v>
      </c>
      <c r="H28" s="153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>
      <c r="A29" s="187" t="s">
        <v>7</v>
      </c>
      <c r="B29" s="187">
        <f>B26</f>
        <v>1743</v>
      </c>
      <c r="C29" s="187">
        <f>C26</f>
        <v>1786</v>
      </c>
      <c r="D29" s="259"/>
      <c r="E29" s="188">
        <f>C29-B29</f>
        <v>43</v>
      </c>
      <c r="F29" s="57">
        <f>IF(D28=0,0,(E29/(D28+D25)*D28))</f>
        <v>21.5</v>
      </c>
      <c r="G29" s="196">
        <f>F29*$L$2</f>
        <v>387000</v>
      </c>
      <c r="H29" s="158"/>
      <c r="I29" s="81"/>
      <c r="J29" s="120" t="str">
        <f t="shared" si="2"/>
        <v>Nước</v>
      </c>
      <c r="K29" s="75">
        <f>VLOOKUP(J27,'so nguoi'!$A$8:$B$21,2,0)</f>
        <v>5</v>
      </c>
      <c r="L29" s="75"/>
      <c r="M29" s="75"/>
      <c r="N29" s="75"/>
      <c r="O29" s="75"/>
    </row>
    <row r="30" spans="1:15" s="2" customFormat="1" ht="23.25" customHeight="1">
      <c r="A30" s="159" t="s">
        <v>227</v>
      </c>
      <c r="B30" s="197"/>
      <c r="C30" s="197"/>
      <c r="D30" s="197"/>
      <c r="E30" s="161"/>
      <c r="F30" s="162"/>
      <c r="G30" s="197"/>
      <c r="H30" s="230">
        <f>SUM(G31:G32)</f>
        <v>305800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>
      <c r="A31" s="187" t="s">
        <v>6</v>
      </c>
      <c r="B31" s="178">
        <v>12720</v>
      </c>
      <c r="C31" s="178">
        <v>12782</v>
      </c>
      <c r="D31" s="259">
        <f>VLOOKUP(RIGHT(LEFT(A30,11),4),'so nguoi'!$A$8:$B$21,2,0)</f>
        <v>5</v>
      </c>
      <c r="E31" s="61">
        <f>C31-B31</f>
        <v>62</v>
      </c>
      <c r="F31" s="62">
        <f>E31</f>
        <v>62</v>
      </c>
      <c r="G31" s="152">
        <f>F31*$L$1</f>
        <v>179800</v>
      </c>
      <c r="H31" s="153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>
      <c r="A32" s="187" t="s">
        <v>7</v>
      </c>
      <c r="B32" s="187">
        <v>1375</v>
      </c>
      <c r="C32" s="187">
        <v>1382</v>
      </c>
      <c r="D32" s="259"/>
      <c r="E32" s="188">
        <f>C32-B32</f>
        <v>7</v>
      </c>
      <c r="F32" s="57">
        <f>E32</f>
        <v>7</v>
      </c>
      <c r="G32" s="196">
        <f>F32*$L$2</f>
        <v>126000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>
      <c r="A33" s="159" t="s">
        <v>228</v>
      </c>
      <c r="B33" s="197"/>
      <c r="C33" s="197"/>
      <c r="D33" s="197"/>
      <c r="E33" s="161"/>
      <c r="F33" s="162"/>
      <c r="G33" s="197"/>
      <c r="H33" s="163">
        <f>IF(D34=0,0,IF(D37=0,SUM(G34:G35)+G37,SUM(G34:G35)))</f>
        <v>209400</v>
      </c>
      <c r="I33" s="142"/>
      <c r="J33" s="120"/>
      <c r="K33" s="120"/>
      <c r="L33" s="120"/>
      <c r="M33" s="120"/>
      <c r="N33" s="120"/>
      <c r="O33" s="120"/>
    </row>
    <row r="34" spans="1:15" ht="16.5">
      <c r="A34" s="189" t="s">
        <v>6</v>
      </c>
      <c r="B34" s="189">
        <v>2989</v>
      </c>
      <c r="C34" s="189">
        <v>3025</v>
      </c>
      <c r="D34" s="259">
        <f>VLOOKUP(RIGHT(LEFT(A33,11),4),'so nguoi'!$A$8:$B$21,2,0)</f>
        <v>5</v>
      </c>
      <c r="E34" s="61">
        <f>C34-B34</f>
        <v>36</v>
      </c>
      <c r="F34" s="62">
        <f>E34</f>
        <v>36</v>
      </c>
      <c r="G34" s="152">
        <f>F34*$L$1</f>
        <v>104400</v>
      </c>
      <c r="H34" s="153"/>
      <c r="I34" s="81"/>
      <c r="J34" s="75"/>
      <c r="K34" s="75"/>
      <c r="L34" s="75"/>
      <c r="M34" s="75"/>
      <c r="N34" s="75"/>
      <c r="O34" s="75"/>
    </row>
    <row r="35" spans="1:15" ht="16.5">
      <c r="A35" s="187" t="s">
        <v>7</v>
      </c>
      <c r="B35" s="187">
        <v>1358</v>
      </c>
      <c r="C35" s="187">
        <v>1365</v>
      </c>
      <c r="D35" s="259"/>
      <c r="E35" s="188">
        <f>C35-B35</f>
        <v>7</v>
      </c>
      <c r="F35" s="57">
        <f>IF(D34=0,0,(E35/(D34+D37)*D34))</f>
        <v>5.8333333333333339</v>
      </c>
      <c r="G35" s="196">
        <f>F35*$L$2</f>
        <v>105000.00000000001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59" t="s">
        <v>229</v>
      </c>
      <c r="B36" s="197"/>
      <c r="C36" s="197"/>
      <c r="D36" s="197"/>
      <c r="E36" s="161"/>
      <c r="F36" s="162"/>
      <c r="G36" s="197"/>
      <c r="H36" s="163">
        <f>IF(D37=0,0,IF(D34=0,SUM(G37:G38)+G34,SUM(G37:G38)))</f>
        <v>79000</v>
      </c>
      <c r="I36" s="142"/>
      <c r="J36" s="120"/>
      <c r="K36" s="120"/>
      <c r="L36" s="120"/>
      <c r="M36" s="120"/>
      <c r="N36" s="120"/>
      <c r="O36" s="120"/>
    </row>
    <row r="37" spans="1:15" ht="16.5">
      <c r="A37" s="189" t="s">
        <v>6</v>
      </c>
      <c r="B37" s="189">
        <v>3975</v>
      </c>
      <c r="C37" s="189">
        <v>3995</v>
      </c>
      <c r="D37" s="259">
        <f>VLOOKUP(RIGHT(LEFT(A36,11),4),'so nguoi'!$A$8:$B$21,2,0)</f>
        <v>1</v>
      </c>
      <c r="E37" s="61">
        <f>C37-B37</f>
        <v>20</v>
      </c>
      <c r="F37" s="62">
        <f>E37</f>
        <v>20</v>
      </c>
      <c r="G37" s="152">
        <f>F37*$L$1</f>
        <v>58000</v>
      </c>
      <c r="H37" s="153"/>
      <c r="I37" s="81"/>
      <c r="J37" s="75"/>
      <c r="K37" s="75"/>
      <c r="L37" s="75"/>
      <c r="M37" s="75"/>
      <c r="N37" s="75"/>
      <c r="O37" s="75"/>
    </row>
    <row r="38" spans="1:15" ht="16.5">
      <c r="A38" s="187" t="s">
        <v>7</v>
      </c>
      <c r="B38" s="187">
        <f>B35</f>
        <v>1358</v>
      </c>
      <c r="C38" s="187">
        <f>C35</f>
        <v>1365</v>
      </c>
      <c r="D38" s="259"/>
      <c r="E38" s="188">
        <f>C38-B38</f>
        <v>7</v>
      </c>
      <c r="F38" s="57">
        <f>IF(D37=0,0,(E38/(D37+D34)*D37))</f>
        <v>1.1666666666666667</v>
      </c>
      <c r="G38" s="196">
        <f>F38*$L$2</f>
        <v>21000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59" t="s">
        <v>230</v>
      </c>
      <c r="B39" s="197"/>
      <c r="C39" s="197"/>
      <c r="D39" s="197"/>
      <c r="E39" s="161"/>
      <c r="F39" s="162"/>
      <c r="G39" s="197"/>
      <c r="H39" s="163">
        <f>SUM(G40:G41)</f>
        <v>266400</v>
      </c>
      <c r="I39" s="142"/>
      <c r="J39" s="120"/>
      <c r="K39" s="120"/>
      <c r="L39" s="120"/>
      <c r="M39" s="120"/>
      <c r="N39" s="120"/>
      <c r="O39" s="120"/>
    </row>
    <row r="40" spans="1:15" ht="16.5">
      <c r="A40" s="189" t="s">
        <v>6</v>
      </c>
      <c r="B40" s="189">
        <v>7977</v>
      </c>
      <c r="C40" s="189">
        <v>8013</v>
      </c>
      <c r="D40" s="259">
        <f>VLOOKUP(RIGHT(LEFT(A39,11),4),'so nguoi'!$A$8:$B$21,2,0)</f>
        <v>2</v>
      </c>
      <c r="E40" s="61">
        <f>C40-B40</f>
        <v>36</v>
      </c>
      <c r="F40" s="62">
        <f>E40</f>
        <v>36</v>
      </c>
      <c r="G40" s="152">
        <f>F40*$L$1</f>
        <v>104400</v>
      </c>
      <c r="H40" s="153"/>
      <c r="I40" s="81"/>
      <c r="J40" s="75"/>
      <c r="K40" s="75"/>
      <c r="L40" s="75"/>
      <c r="M40" s="75"/>
      <c r="N40" s="75"/>
      <c r="O40" s="75"/>
    </row>
    <row r="41" spans="1:15" ht="16.5">
      <c r="A41" s="187" t="s">
        <v>7</v>
      </c>
      <c r="B41" s="187">
        <v>1628</v>
      </c>
      <c r="C41" s="187">
        <v>1637</v>
      </c>
      <c r="D41" s="259"/>
      <c r="E41" s="188">
        <f>C41-B41</f>
        <v>9</v>
      </c>
      <c r="F41" s="57">
        <f>IF(D40=0,0,(E41/(D40+D43)*D40))</f>
        <v>9</v>
      </c>
      <c r="G41" s="196">
        <f>F41*$L$2</f>
        <v>162000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59" t="s">
        <v>231</v>
      </c>
      <c r="B42" s="197"/>
      <c r="C42" s="197"/>
      <c r="D42" s="197"/>
      <c r="E42" s="161"/>
      <c r="F42" s="162"/>
      <c r="G42" s="197"/>
      <c r="H42" s="163">
        <f>SUM(G43:G44)</f>
        <v>0</v>
      </c>
      <c r="I42" s="142"/>
      <c r="J42" s="120"/>
      <c r="K42" s="120"/>
      <c r="L42" s="120"/>
      <c r="M42" s="120"/>
      <c r="N42" s="120"/>
      <c r="O42" s="120"/>
    </row>
    <row r="43" spans="1:15" ht="16.5">
      <c r="A43" s="189" t="s">
        <v>6</v>
      </c>
      <c r="B43" s="189">
        <v>4531</v>
      </c>
      <c r="C43" s="189">
        <v>4531</v>
      </c>
      <c r="D43" s="259">
        <f>VLOOKUP(RIGHT(LEFT(A42,11),4),'so nguoi'!$A$8:$B$21,2,0)</f>
        <v>0</v>
      </c>
      <c r="E43" s="61">
        <f>C43-B43</f>
        <v>0</v>
      </c>
      <c r="F43" s="62">
        <f>E43</f>
        <v>0</v>
      </c>
      <c r="G43" s="152">
        <f>F43*$L$1</f>
        <v>0</v>
      </c>
      <c r="H43" s="153"/>
      <c r="I43" s="81"/>
      <c r="J43" s="75"/>
      <c r="K43" s="75"/>
      <c r="L43" s="75"/>
      <c r="M43" s="75"/>
      <c r="N43" s="75"/>
      <c r="O43" s="75"/>
    </row>
    <row r="44" spans="1:15" ht="16.5">
      <c r="A44" s="187" t="s">
        <v>7</v>
      </c>
      <c r="B44" s="187">
        <f>B41</f>
        <v>1628</v>
      </c>
      <c r="C44" s="187">
        <f>C41</f>
        <v>1637</v>
      </c>
      <c r="D44" s="259"/>
      <c r="E44" s="188">
        <f>C44-B44</f>
        <v>9</v>
      </c>
      <c r="F44" s="57">
        <f>IF(D43=0,0,(E44/(D43+D40)*D43))</f>
        <v>0</v>
      </c>
      <c r="G44" s="196">
        <f>F44*$L$2</f>
        <v>0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59" t="s">
        <v>232</v>
      </c>
      <c r="B45" s="197"/>
      <c r="C45" s="197"/>
      <c r="D45" s="197"/>
      <c r="E45" s="161"/>
      <c r="F45" s="162"/>
      <c r="G45" s="197"/>
      <c r="H45" s="163">
        <f>SUM(G46:G47)</f>
        <v>288500</v>
      </c>
      <c r="I45" s="142"/>
      <c r="J45" s="120" t="s">
        <v>65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>
      <c r="A46" s="189" t="s">
        <v>6</v>
      </c>
      <c r="B46" s="189">
        <v>4131</v>
      </c>
      <c r="C46" s="189">
        <v>4156</v>
      </c>
      <c r="D46" s="259">
        <f>VLOOKUP(RIGHT(LEFT(A45,11),4),'so nguoi'!$C$8:$N$21,2,0)</f>
        <v>4</v>
      </c>
      <c r="E46" s="61">
        <f>C46-B46</f>
        <v>25</v>
      </c>
      <c r="F46" s="62">
        <f>E46</f>
        <v>25</v>
      </c>
      <c r="G46" s="152">
        <f>F46*$L$1</f>
        <v>72500</v>
      </c>
      <c r="H46" s="153"/>
      <c r="I46" s="81"/>
      <c r="J46" s="75" t="s">
        <v>66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>
      <c r="A47" s="187" t="s">
        <v>7</v>
      </c>
      <c r="B47" s="215">
        <v>5928</v>
      </c>
      <c r="C47" s="215">
        <v>5955</v>
      </c>
      <c r="D47" s="259"/>
      <c r="E47" s="188">
        <f>C47-B47</f>
        <v>27</v>
      </c>
      <c r="F47" s="57">
        <f>IF(D46=0,0,(E47/(D46+D49)*D46))</f>
        <v>12</v>
      </c>
      <c r="G47" s="196">
        <f>F47*$L$2</f>
        <v>216000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59" t="s">
        <v>233</v>
      </c>
      <c r="B48" s="197"/>
      <c r="C48" s="197"/>
      <c r="D48" s="197"/>
      <c r="E48" s="161"/>
      <c r="F48" s="162"/>
      <c r="G48" s="197"/>
      <c r="H48" s="163">
        <f>SUM(G49:G50)</f>
        <v>545500</v>
      </c>
      <c r="I48" s="142"/>
      <c r="J48" s="120"/>
      <c r="K48" s="120"/>
      <c r="L48" s="120"/>
      <c r="M48" s="120"/>
      <c r="N48" s="120"/>
      <c r="O48" s="120"/>
    </row>
    <row r="49" spans="1:15" ht="16.5">
      <c r="A49" s="189" t="s">
        <v>6</v>
      </c>
      <c r="B49" s="189">
        <v>3745</v>
      </c>
      <c r="C49" s="214">
        <v>3840</v>
      </c>
      <c r="D49" s="259">
        <f>VLOOKUP(RIGHT(LEFT(A48,11),4),'so nguoi'!$C$8:$N$21,2,0)</f>
        <v>5</v>
      </c>
      <c r="E49" s="61">
        <f>C49-B49</f>
        <v>95</v>
      </c>
      <c r="F49" s="62">
        <f>E49</f>
        <v>95</v>
      </c>
      <c r="G49" s="152">
        <f>F49*$L$1</f>
        <v>275500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>
      <c r="A50" s="187" t="s">
        <v>7</v>
      </c>
      <c r="B50" s="187">
        <f>B47</f>
        <v>5928</v>
      </c>
      <c r="C50" s="187">
        <f>C47</f>
        <v>5955</v>
      </c>
      <c r="D50" s="259"/>
      <c r="E50" s="188">
        <f>C50-B50</f>
        <v>27</v>
      </c>
      <c r="F50" s="57">
        <f>IF(D49=0,0,(E50/(D49+D46)*D49))</f>
        <v>15</v>
      </c>
      <c r="G50" s="196">
        <f>F50*$L$2</f>
        <v>270000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customHeight="1">
      <c r="A51" s="159" t="s">
        <v>234</v>
      </c>
      <c r="B51" s="197"/>
      <c r="C51" s="197"/>
      <c r="D51" s="197"/>
      <c r="E51" s="161"/>
      <c r="F51" s="162"/>
      <c r="G51" s="197"/>
      <c r="H51" s="163">
        <f>SUM(G52:G53)</f>
        <v>456100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>
      <c r="A52" s="189" t="s">
        <v>6</v>
      </c>
      <c r="B52" s="189">
        <v>2522</v>
      </c>
      <c r="C52" s="189">
        <v>2611</v>
      </c>
      <c r="D52" s="259">
        <f>VLOOKUP(RIGHT(LEFT(A51,11),4),'so nguoi'!$C$8:$N$21,2,0)</f>
        <v>6</v>
      </c>
      <c r="E52" s="61">
        <f>C52-B52</f>
        <v>89</v>
      </c>
      <c r="F52" s="62">
        <f>E52</f>
        <v>89</v>
      </c>
      <c r="G52" s="152">
        <f>F52*$L$1</f>
        <v>258100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>
      <c r="A53" s="187" t="s">
        <v>7</v>
      </c>
      <c r="B53" s="187">
        <v>1598</v>
      </c>
      <c r="C53" s="215">
        <v>1609</v>
      </c>
      <c r="D53" s="259"/>
      <c r="E53" s="188">
        <f>C53-B53</f>
        <v>11</v>
      </c>
      <c r="F53" s="57">
        <f>E53</f>
        <v>11</v>
      </c>
      <c r="G53" s="196">
        <f>F53*$L$2</f>
        <v>198000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customHeight="1">
      <c r="A54" s="159" t="s">
        <v>235</v>
      </c>
      <c r="B54" s="197"/>
      <c r="C54" s="197"/>
      <c r="D54" s="197"/>
      <c r="E54" s="161"/>
      <c r="F54" s="162"/>
      <c r="G54" s="197"/>
      <c r="H54" s="163">
        <f>IF(D55=0,0,IF(D58=0,SUM(G55:G56)+G58,SUM(G55:G56)))</f>
        <v>580527.27272727271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>
      <c r="A55" s="189" t="s">
        <v>6</v>
      </c>
      <c r="B55" s="189">
        <v>3964</v>
      </c>
      <c r="C55" s="214">
        <v>4066</v>
      </c>
      <c r="D55" s="259">
        <f>VLOOKUP(RIGHT(LEFT(A54,11),4),'so nguoi'!$C$8:$N$21,2,0)</f>
        <v>6</v>
      </c>
      <c r="E55" s="61">
        <f>C55-B55</f>
        <v>102</v>
      </c>
      <c r="F55" s="62">
        <f>E55</f>
        <v>102</v>
      </c>
      <c r="G55" s="152">
        <f>F55*$L$1</f>
        <v>295800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>
      <c r="A56" s="187" t="s">
        <v>7</v>
      </c>
      <c r="B56" s="187">
        <v>6365</v>
      </c>
      <c r="C56" s="215">
        <v>6394</v>
      </c>
      <c r="D56" s="259"/>
      <c r="E56" s="188">
        <f>C56-B56</f>
        <v>29</v>
      </c>
      <c r="F56" s="57">
        <f>IF(D55=0,0,(E56/(D55+D58)*D55))</f>
        <v>15.818181818181817</v>
      </c>
      <c r="G56" s="196">
        <f>F56*$L$2</f>
        <v>284727.27272727271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>
      <c r="A57" s="159" t="s">
        <v>236</v>
      </c>
      <c r="B57" s="197"/>
      <c r="C57" s="197"/>
      <c r="D57" s="197"/>
      <c r="E57" s="161"/>
      <c r="F57" s="162"/>
      <c r="G57" s="197"/>
      <c r="H57" s="163">
        <f>IF(D58=0,0,IF(D55=0,SUM(G58:G59)+G55,SUM(G58:G59)))</f>
        <v>411272.72727272729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>
      <c r="A58" s="189" t="s">
        <v>6</v>
      </c>
      <c r="B58" s="189">
        <v>3844</v>
      </c>
      <c r="C58" s="189">
        <v>3904</v>
      </c>
      <c r="D58" s="259">
        <f>VLOOKUP(RIGHT(LEFT(A57,11),4),'so nguoi'!$C$8:$N$21,2,0)</f>
        <v>5</v>
      </c>
      <c r="E58" s="61">
        <f>C58-B58</f>
        <v>60</v>
      </c>
      <c r="F58" s="62">
        <f>E58</f>
        <v>60</v>
      </c>
      <c r="G58" s="152">
        <f>F58*$L$1</f>
        <v>174000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>
      <c r="A59" s="187" t="s">
        <v>7</v>
      </c>
      <c r="B59" s="187">
        <f>B56</f>
        <v>6365</v>
      </c>
      <c r="C59" s="187">
        <f>C56</f>
        <v>6394</v>
      </c>
      <c r="D59" s="259"/>
      <c r="E59" s="188">
        <f>C59-B59</f>
        <v>29</v>
      </c>
      <c r="F59" s="57">
        <f>IF(D58=0,0,(E59/(D58+D55)*D58))</f>
        <v>13.181818181818182</v>
      </c>
      <c r="G59" s="196">
        <f>F59*$L$2</f>
        <v>237272.72727272726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customHeight="1">
      <c r="A60" s="159" t="s">
        <v>237</v>
      </c>
      <c r="B60" s="197"/>
      <c r="C60" s="197"/>
      <c r="D60" s="197"/>
      <c r="E60" s="161"/>
      <c r="F60" s="162"/>
      <c r="G60" s="197"/>
      <c r="H60" s="163">
        <f>SUM(G61:G62)</f>
        <v>415890.90909090906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>
      <c r="A61" s="189" t="s">
        <v>6</v>
      </c>
      <c r="B61" s="189">
        <v>769</v>
      </c>
      <c r="C61" s="189">
        <v>821</v>
      </c>
      <c r="D61" s="259">
        <f>VLOOKUP(RIGHT(LEFT(A60,11),4),'so nguoi'!$C$8:$N$21,2,0)</f>
        <v>6</v>
      </c>
      <c r="E61" s="61">
        <f>C61-B61</f>
        <v>52</v>
      </c>
      <c r="F61" s="62">
        <f>E61</f>
        <v>52</v>
      </c>
      <c r="G61" s="152">
        <f>F61*$L$1</f>
        <v>150800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>
      <c r="A62" s="187" t="s">
        <v>7</v>
      </c>
      <c r="B62" s="187">
        <v>5743</v>
      </c>
      <c r="C62" s="187">
        <v>5770</v>
      </c>
      <c r="D62" s="259"/>
      <c r="E62" s="188">
        <f>C62-B62</f>
        <v>27</v>
      </c>
      <c r="F62" s="57">
        <f>IF(D61=0,0,(E62/(D61+D64)*D61))</f>
        <v>14.727272727272727</v>
      </c>
      <c r="G62" s="196">
        <f>F62*$L$2</f>
        <v>265090.90909090906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>
      <c r="A63" s="159" t="s">
        <v>238</v>
      </c>
      <c r="B63" s="197"/>
      <c r="C63" s="197"/>
      <c r="D63" s="197"/>
      <c r="E63" s="161"/>
      <c r="F63" s="162"/>
      <c r="G63" s="199"/>
      <c r="H63" s="202">
        <f>SUM(G64:G65)</f>
        <v>313709.09090909094</v>
      </c>
      <c r="I63" s="142"/>
      <c r="J63" s="120"/>
      <c r="K63" s="120"/>
      <c r="L63" s="120"/>
      <c r="M63" s="120"/>
      <c r="N63" s="120"/>
      <c r="O63" s="120"/>
    </row>
    <row r="64" spans="1:15" ht="16.5">
      <c r="A64" s="187" t="s">
        <v>6</v>
      </c>
      <c r="B64" s="187">
        <v>5802</v>
      </c>
      <c r="C64" s="187">
        <v>5834</v>
      </c>
      <c r="D64" s="259">
        <f>VLOOKUP(RIGHT(LEFT(A63,11),4),'so nguoi'!$C$8:$N$21,2,0)</f>
        <v>5</v>
      </c>
      <c r="E64" s="61">
        <f>C64-B64</f>
        <v>32</v>
      </c>
      <c r="F64" s="62">
        <f>E64</f>
        <v>32</v>
      </c>
      <c r="G64" s="200">
        <f>F64*$L$1</f>
        <v>92800</v>
      </c>
      <c r="H64" s="227"/>
      <c r="I64" s="81"/>
      <c r="J64" s="75"/>
      <c r="K64" s="75"/>
      <c r="L64" s="75"/>
      <c r="M64" s="75"/>
      <c r="N64" s="75"/>
      <c r="O64" s="75"/>
    </row>
    <row r="65" spans="1:15" s="59" customFormat="1" ht="16.5">
      <c r="A65" s="187" t="s">
        <v>7</v>
      </c>
      <c r="B65" s="187">
        <f>B62</f>
        <v>5743</v>
      </c>
      <c r="C65" s="187">
        <f>C62</f>
        <v>5770</v>
      </c>
      <c r="D65" s="259"/>
      <c r="E65" s="188">
        <f>C65-B65</f>
        <v>27</v>
      </c>
      <c r="F65" s="57">
        <f>IF(D64=0,0,(E65/(D64+D61)*D64))</f>
        <v>12.272727272727273</v>
      </c>
      <c r="G65" s="201">
        <f>F65*$L$2</f>
        <v>220909.09090909091</v>
      </c>
      <c r="H65" s="179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>
      <c r="A66" s="159" t="s">
        <v>239</v>
      </c>
      <c r="B66" s="197"/>
      <c r="C66" s="197"/>
      <c r="D66" s="197"/>
      <c r="E66" s="161"/>
      <c r="F66" s="162"/>
      <c r="G66" s="197"/>
      <c r="H66" s="163">
        <f>SUM(G67:G68)</f>
        <v>361900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>
      <c r="A67" s="189" t="s">
        <v>6</v>
      </c>
      <c r="B67" s="189">
        <v>2890</v>
      </c>
      <c r="C67" s="189">
        <v>2931</v>
      </c>
      <c r="D67" s="259">
        <f>VLOOKUP(RIGHT(LEFT(A66,11),4),'so nguoi'!$C$8:$N$21,2,0)</f>
        <v>6</v>
      </c>
      <c r="E67" s="61">
        <f>C67-B67</f>
        <v>41</v>
      </c>
      <c r="F67" s="62">
        <f>E67</f>
        <v>41</v>
      </c>
      <c r="G67" s="152">
        <f>F67*$L$1</f>
        <v>118900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>
      <c r="A68" s="187" t="s">
        <v>7</v>
      </c>
      <c r="B68" s="187">
        <v>6406</v>
      </c>
      <c r="C68" s="187">
        <v>6433</v>
      </c>
      <c r="D68" s="259"/>
      <c r="E68" s="188">
        <f>C68-B68</f>
        <v>27</v>
      </c>
      <c r="F68" s="57">
        <f>IF(D67=0,0,(E68/(D67+D70)*D67))</f>
        <v>13.5</v>
      </c>
      <c r="G68" s="196">
        <f>F68*$L$2</f>
        <v>243000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>
      <c r="A69" s="159" t="s">
        <v>240</v>
      </c>
      <c r="B69" s="197"/>
      <c r="C69" s="197"/>
      <c r="D69" s="197"/>
      <c r="E69" s="161"/>
      <c r="F69" s="162"/>
      <c r="G69" s="199"/>
      <c r="H69" s="202">
        <f>SUM(G70:G71)</f>
        <v>443100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>
      <c r="A70" s="187" t="s">
        <v>6</v>
      </c>
      <c r="B70" s="187">
        <v>1936</v>
      </c>
      <c r="C70" s="187">
        <v>2005</v>
      </c>
      <c r="D70" s="259">
        <f>VLOOKUP(RIGHT(LEFT(A69,11),4),'so nguoi'!$C$8:$N$21,2,0)</f>
        <v>6</v>
      </c>
      <c r="E70" s="61">
        <f>C70-B70</f>
        <v>69</v>
      </c>
      <c r="F70" s="62">
        <f>E70</f>
        <v>69</v>
      </c>
      <c r="G70" s="152">
        <f>F70*$L$1</f>
        <v>200100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>
      <c r="A71" s="187" t="s">
        <v>7</v>
      </c>
      <c r="B71" s="187">
        <f>B68</f>
        <v>6406</v>
      </c>
      <c r="C71" s="187">
        <f>C68</f>
        <v>6433</v>
      </c>
      <c r="D71" s="259"/>
      <c r="E71" s="188">
        <f>C71-B71</f>
        <v>27</v>
      </c>
      <c r="F71" s="57">
        <f>IF(D70=0,0,(E71/(D70+D67)*D70))</f>
        <v>13.5</v>
      </c>
      <c r="G71" s="201">
        <f>F71*$L$2</f>
        <v>243000</v>
      </c>
      <c r="H71" s="179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>
      <c r="A72" s="159" t="s">
        <v>241</v>
      </c>
      <c r="B72" s="197"/>
      <c r="C72" s="197"/>
      <c r="D72" s="197"/>
      <c r="E72" s="161"/>
      <c r="F72" s="162"/>
      <c r="G72" s="197"/>
      <c r="H72" s="163">
        <f>SUM(G73:G74)</f>
        <v>267000</v>
      </c>
      <c r="I72" s="142"/>
      <c r="J72" s="120"/>
      <c r="K72" s="120"/>
      <c r="L72" s="120"/>
      <c r="M72" s="120"/>
      <c r="N72" s="120"/>
      <c r="O72" s="120"/>
    </row>
    <row r="73" spans="1:15" s="59" customFormat="1" ht="16.5">
      <c r="A73" s="189" t="s">
        <v>6</v>
      </c>
      <c r="B73" s="214">
        <v>4074</v>
      </c>
      <c r="C73" s="214">
        <v>4104</v>
      </c>
      <c r="D73" s="259">
        <f>VLOOKUP(RIGHT(LEFT(A72,11),4),'so nguoi'!$C$8:$N$21,2,0)</f>
        <v>3</v>
      </c>
      <c r="E73" s="61">
        <f>C73-B73</f>
        <v>30</v>
      </c>
      <c r="F73" s="62">
        <f>E73</f>
        <v>30</v>
      </c>
      <c r="G73" s="152">
        <f>F73*$L$1</f>
        <v>87000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>
      <c r="A74" s="187" t="s">
        <v>7</v>
      </c>
      <c r="B74" s="187">
        <v>6637</v>
      </c>
      <c r="C74" s="187">
        <v>6667</v>
      </c>
      <c r="D74" s="259"/>
      <c r="E74" s="188">
        <f>C74-B74</f>
        <v>30</v>
      </c>
      <c r="F74" s="57">
        <f>IF(D73=0,0,(E74/(D73+D76)*D73))</f>
        <v>10</v>
      </c>
      <c r="G74" s="196">
        <f>F74*$L$2</f>
        <v>180000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>
      <c r="A75" s="159" t="s">
        <v>242</v>
      </c>
      <c r="B75" s="197"/>
      <c r="C75" s="197"/>
      <c r="D75" s="197"/>
      <c r="E75" s="161"/>
      <c r="F75" s="162"/>
      <c r="G75" s="199"/>
      <c r="H75" s="202">
        <f>SUM(G76:G77)</f>
        <v>534000</v>
      </c>
      <c r="I75" s="142"/>
      <c r="J75" s="120"/>
      <c r="K75" s="120"/>
      <c r="L75" s="120"/>
      <c r="M75" s="120"/>
      <c r="N75" s="120"/>
      <c r="O75" s="120"/>
    </row>
    <row r="76" spans="1:15" ht="16.5">
      <c r="A76" s="187" t="s">
        <v>6</v>
      </c>
      <c r="B76" s="187">
        <v>6052</v>
      </c>
      <c r="C76" s="187">
        <v>6112</v>
      </c>
      <c r="D76" s="259">
        <f>VLOOKUP(RIGHT(LEFT(A75,11),4),'so nguoi'!$C$8:$N$21,2,0)</f>
        <v>6</v>
      </c>
      <c r="E76" s="61">
        <f>C76-B76</f>
        <v>60</v>
      </c>
      <c r="F76" s="62">
        <f>E76</f>
        <v>60</v>
      </c>
      <c r="G76" s="152">
        <f>F76*$L$1</f>
        <v>174000</v>
      </c>
      <c r="H76" s="153"/>
      <c r="I76" s="81"/>
      <c r="J76" s="75"/>
      <c r="K76" s="75"/>
      <c r="L76" s="75"/>
      <c r="M76" s="75"/>
      <c r="N76" s="75"/>
      <c r="O76" s="75"/>
    </row>
    <row r="77" spans="1:15" ht="16.5">
      <c r="A77" s="187" t="s">
        <v>7</v>
      </c>
      <c r="B77" s="187">
        <f>B74</f>
        <v>6637</v>
      </c>
      <c r="C77" s="187">
        <f>C74</f>
        <v>6667</v>
      </c>
      <c r="D77" s="259"/>
      <c r="E77" s="188">
        <f>C77-B77</f>
        <v>30</v>
      </c>
      <c r="F77" s="57">
        <f>IF(D76=0,0,(E77/(D76+D73)*D76))</f>
        <v>20</v>
      </c>
      <c r="G77" s="201">
        <f>F77*$L$2</f>
        <v>360000</v>
      </c>
      <c r="H77" s="179"/>
      <c r="I77" s="81"/>
      <c r="J77" s="75"/>
      <c r="K77" s="75"/>
      <c r="L77" s="75"/>
      <c r="M77" s="75"/>
      <c r="N77" s="75"/>
      <c r="O77" s="75"/>
    </row>
    <row r="78" spans="1:15" s="2" customFormat="1" ht="23.25" customHeight="1">
      <c r="A78" s="159" t="s">
        <v>243</v>
      </c>
      <c r="B78" s="197"/>
      <c r="C78" s="197"/>
      <c r="D78" s="197"/>
      <c r="E78" s="161"/>
      <c r="F78" s="162"/>
      <c r="G78" s="197"/>
      <c r="H78" s="163">
        <f>SUM(G79:G80)</f>
        <v>270700</v>
      </c>
      <c r="I78" s="142"/>
      <c r="J78" s="120"/>
      <c r="K78" s="120"/>
      <c r="L78" s="120"/>
      <c r="M78" s="120"/>
      <c r="N78" s="120"/>
      <c r="O78" s="120"/>
    </row>
    <row r="79" spans="1:15" ht="16.5">
      <c r="A79" s="189" t="s">
        <v>6</v>
      </c>
      <c r="B79" s="189">
        <v>1497</v>
      </c>
      <c r="C79" s="189">
        <v>1550</v>
      </c>
      <c r="D79" s="259">
        <f>VLOOKUP(RIGHT(LEFT(A78,11),4),'so nguoi'!$C$8:$N$21,2,0)</f>
        <v>5</v>
      </c>
      <c r="E79" s="61">
        <f>C79-B79</f>
        <v>53</v>
      </c>
      <c r="F79" s="62">
        <f>E79</f>
        <v>53</v>
      </c>
      <c r="G79" s="152">
        <f>F79*$L$1</f>
        <v>153700</v>
      </c>
      <c r="H79" s="153"/>
      <c r="I79" s="81"/>
      <c r="J79" s="193"/>
      <c r="K79" s="75"/>
      <c r="L79" s="75"/>
      <c r="M79" s="75"/>
      <c r="N79" s="75"/>
      <c r="O79" s="75"/>
    </row>
    <row r="80" spans="1:15" ht="16.5">
      <c r="A80" s="187" t="s">
        <v>7</v>
      </c>
      <c r="B80" s="187">
        <v>5890</v>
      </c>
      <c r="C80" s="187">
        <v>5903</v>
      </c>
      <c r="D80" s="259"/>
      <c r="E80" s="188">
        <f>C80-B80</f>
        <v>13</v>
      </c>
      <c r="F80" s="57">
        <f>IF(D79=0,0,(E80/(D79+D82)*D79))</f>
        <v>6.5</v>
      </c>
      <c r="G80" s="196">
        <f>F80*$L$2</f>
        <v>117000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>
      <c r="A81" s="159" t="s">
        <v>244</v>
      </c>
      <c r="B81" s="197"/>
      <c r="C81" s="197"/>
      <c r="D81" s="197"/>
      <c r="E81" s="161"/>
      <c r="F81" s="162"/>
      <c r="G81" s="197"/>
      <c r="H81" s="163">
        <f>SUM(G82:G83)</f>
        <v>204000</v>
      </c>
      <c r="I81" s="142"/>
      <c r="J81" s="120"/>
      <c r="K81" s="120"/>
      <c r="L81" s="120"/>
      <c r="M81" s="120"/>
      <c r="N81" s="120"/>
      <c r="O81" s="120"/>
    </row>
    <row r="82" spans="1:15" ht="16.5">
      <c r="A82" s="189" t="s">
        <v>6</v>
      </c>
      <c r="B82" s="189">
        <v>3951</v>
      </c>
      <c r="C82" s="189">
        <v>3981</v>
      </c>
      <c r="D82" s="259">
        <f>VLOOKUP(RIGHT(LEFT(A81,11),4),'so nguoi'!$C$8:$N$21,2,0)</f>
        <v>5</v>
      </c>
      <c r="E82" s="61">
        <f>C82-B82</f>
        <v>30</v>
      </c>
      <c r="F82" s="62">
        <f>E82</f>
        <v>30</v>
      </c>
      <c r="G82" s="152">
        <f>F82*$L$1</f>
        <v>87000</v>
      </c>
      <c r="H82" s="153"/>
      <c r="I82" s="81"/>
      <c r="J82" s="75"/>
      <c r="K82" s="75"/>
      <c r="L82" s="75"/>
      <c r="M82" s="75"/>
      <c r="N82" s="75"/>
      <c r="O82" s="75"/>
    </row>
    <row r="83" spans="1:15" ht="16.5">
      <c r="A83" s="187" t="s">
        <v>7</v>
      </c>
      <c r="B83" s="187">
        <f>B80</f>
        <v>5890</v>
      </c>
      <c r="C83" s="187">
        <f>C80</f>
        <v>5903</v>
      </c>
      <c r="D83" s="259"/>
      <c r="E83" s="188">
        <f>C83-B83</f>
        <v>13</v>
      </c>
      <c r="F83" s="57">
        <f>IF(D82=0,0,(E83/(D82+D79)*D82))</f>
        <v>6.5</v>
      </c>
      <c r="G83" s="196">
        <f>F83*$L$2</f>
        <v>117000</v>
      </c>
      <c r="H83" s="158"/>
      <c r="I83" s="81"/>
      <c r="J83" s="75"/>
      <c r="K83" s="75"/>
      <c r="L83" s="75"/>
      <c r="M83" s="75"/>
      <c r="N83" s="75"/>
      <c r="O83" s="75"/>
    </row>
    <row r="84" spans="1:15" s="185" customFormat="1" ht="23.25" customHeight="1">
      <c r="A84" s="159" t="s">
        <v>260</v>
      </c>
      <c r="B84" s="197"/>
      <c r="C84" s="197"/>
      <c r="D84" s="197"/>
      <c r="E84" s="161"/>
      <c r="F84" s="162"/>
      <c r="G84" s="197"/>
      <c r="H84" s="163">
        <f>SUM(G85:G86)</f>
        <v>0</v>
      </c>
      <c r="I84" s="195"/>
      <c r="J84" s="192"/>
      <c r="K84" s="192"/>
      <c r="L84" s="192"/>
      <c r="M84" s="192"/>
      <c r="N84" s="192"/>
      <c r="O84" s="192"/>
    </row>
    <row r="85" spans="1:15" s="184" customFormat="1" ht="16.5">
      <c r="A85" s="189" t="s">
        <v>6</v>
      </c>
      <c r="B85" s="189">
        <v>3199</v>
      </c>
      <c r="C85" s="189">
        <v>3199</v>
      </c>
      <c r="D85" s="259">
        <f>VLOOKUP(RIGHT(LEFT(A84,11),4),'so nguoi'!$C$8:$N$21,2,0)</f>
        <v>0</v>
      </c>
      <c r="E85" s="61">
        <f>C85-B85</f>
        <v>0</v>
      </c>
      <c r="F85" s="62">
        <f>E85</f>
        <v>0</v>
      </c>
      <c r="G85" s="152">
        <f>F85*$L$1</f>
        <v>0</v>
      </c>
      <c r="H85" s="153"/>
      <c r="I85" s="191"/>
      <c r="J85" s="190"/>
      <c r="K85" s="190"/>
      <c r="L85" s="190"/>
      <c r="M85" s="190"/>
      <c r="N85" s="190"/>
      <c r="O85" s="190"/>
    </row>
    <row r="86" spans="1:15" s="184" customFormat="1" ht="16.5">
      <c r="A86" s="187" t="s">
        <v>7</v>
      </c>
      <c r="B86" s="187">
        <v>2874</v>
      </c>
      <c r="C86" s="187">
        <v>2874</v>
      </c>
      <c r="D86" s="259"/>
      <c r="E86" s="188">
        <f>C86-B86</f>
        <v>0</v>
      </c>
      <c r="F86" s="57">
        <f>E86</f>
        <v>0</v>
      </c>
      <c r="G86" s="196">
        <f>F86*$L$2</f>
        <v>0</v>
      </c>
      <c r="H86" s="158"/>
      <c r="I86" s="191"/>
      <c r="J86" s="190"/>
      <c r="K86" s="190"/>
      <c r="L86" s="190"/>
      <c r="M86" s="190"/>
      <c r="N86" s="190"/>
      <c r="O86" s="190"/>
    </row>
    <row r="87" spans="1:15" s="2" customFormat="1" ht="23.25" customHeight="1">
      <c r="A87" s="159" t="s">
        <v>245</v>
      </c>
      <c r="B87" s="197"/>
      <c r="C87" s="197"/>
      <c r="D87" s="197"/>
      <c r="E87" s="161"/>
      <c r="F87" s="162"/>
      <c r="G87" s="197"/>
      <c r="H87" s="163">
        <f>SUM(G88:G89)</f>
        <v>318800</v>
      </c>
      <c r="I87" s="142"/>
      <c r="J87" s="120"/>
      <c r="K87" s="120"/>
      <c r="L87" s="120"/>
      <c r="M87" s="120"/>
      <c r="N87" s="120"/>
      <c r="O87" s="120"/>
    </row>
    <row r="88" spans="1:15" ht="16.5">
      <c r="A88" s="189" t="s">
        <v>6</v>
      </c>
      <c r="B88" s="189">
        <v>2662</v>
      </c>
      <c r="C88" s="189">
        <v>2714</v>
      </c>
      <c r="D88" s="259">
        <f>VLOOKUP(RIGHT(LEFT(A87,11),4),'so nguoi'!$E$8:$N$21,2,0)</f>
        <v>6</v>
      </c>
      <c r="E88" s="61">
        <f>C88-B88</f>
        <v>52</v>
      </c>
      <c r="F88" s="62">
        <f>E88</f>
        <v>52</v>
      </c>
      <c r="G88" s="152">
        <f>F88*$L$1</f>
        <v>150800</v>
      </c>
      <c r="H88" s="153"/>
      <c r="I88" s="81"/>
      <c r="J88" s="75"/>
      <c r="K88" s="75"/>
      <c r="L88" s="75"/>
      <c r="M88" s="75"/>
      <c r="N88" s="75"/>
      <c r="O88" s="75"/>
    </row>
    <row r="89" spans="1:15" ht="16.5">
      <c r="A89" s="187" t="s">
        <v>7</v>
      </c>
      <c r="B89" s="178">
        <v>899</v>
      </c>
      <c r="C89" s="252">
        <v>913</v>
      </c>
      <c r="D89" s="259"/>
      <c r="E89" s="188">
        <f>C89-B89</f>
        <v>14</v>
      </c>
      <c r="F89" s="57">
        <f>IF(D88=0,0,(E89/(D88+D91)*D88))</f>
        <v>9.3333333333333339</v>
      </c>
      <c r="G89" s="196">
        <f>F89*$L$2</f>
        <v>168000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>
      <c r="A90" s="159" t="s">
        <v>246</v>
      </c>
      <c r="B90" s="197"/>
      <c r="C90" s="197"/>
      <c r="D90" s="197"/>
      <c r="E90" s="161"/>
      <c r="F90" s="162"/>
      <c r="G90" s="197"/>
      <c r="H90" s="163">
        <f>SUM(G91:G92)</f>
        <v>142000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>
      <c r="A91" s="189" t="s">
        <v>6</v>
      </c>
      <c r="B91" s="189">
        <v>2093</v>
      </c>
      <c r="C91" s="189">
        <v>2113</v>
      </c>
      <c r="D91" s="259">
        <f>VLOOKUP(RIGHT(LEFT(A90,11),4),'so nguoi'!$E$8:$N$21,2,0)</f>
        <v>3</v>
      </c>
      <c r="E91" s="61">
        <f>C91-B91</f>
        <v>20</v>
      </c>
      <c r="F91" s="62">
        <f>E91</f>
        <v>20</v>
      </c>
      <c r="G91" s="152">
        <f>F91*$L$1</f>
        <v>58000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>
      <c r="A92" s="187" t="s">
        <v>7</v>
      </c>
      <c r="B92" s="187">
        <f>B89</f>
        <v>899</v>
      </c>
      <c r="C92" s="187">
        <f>C89</f>
        <v>913</v>
      </c>
      <c r="D92" s="259"/>
      <c r="E92" s="188">
        <f>C92-B92</f>
        <v>14</v>
      </c>
      <c r="F92" s="57">
        <f>IF(D91=0,0,(E92/(D91+D88)*D91))</f>
        <v>4.666666666666667</v>
      </c>
      <c r="G92" s="196">
        <f>F92*$L$2</f>
        <v>84000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>
      <c r="A93" s="159" t="s">
        <v>247</v>
      </c>
      <c r="B93" s="197"/>
      <c r="C93" s="197"/>
      <c r="D93" s="197"/>
      <c r="E93" s="161"/>
      <c r="F93" s="162"/>
      <c r="G93" s="197"/>
      <c r="H93" s="163">
        <f>SUM(G94:G95)</f>
        <v>476000</v>
      </c>
      <c r="I93" s="142"/>
      <c r="J93" s="120"/>
      <c r="K93" s="120"/>
      <c r="L93" s="120"/>
      <c r="M93" s="120"/>
      <c r="N93" s="120"/>
      <c r="O93" s="120"/>
    </row>
    <row r="94" spans="1:15" ht="16.5">
      <c r="A94" s="189" t="s">
        <v>6</v>
      </c>
      <c r="B94" s="189">
        <v>1982</v>
      </c>
      <c r="C94" s="189">
        <v>2022</v>
      </c>
      <c r="D94" s="259">
        <f>VLOOKUP(RIGHT(LEFT(A93,11),4),'so nguoi'!$E$8:$N$21,2,0)</f>
        <v>6</v>
      </c>
      <c r="E94" s="61">
        <f>C94-B94</f>
        <v>40</v>
      </c>
      <c r="F94" s="62">
        <f>E94</f>
        <v>40</v>
      </c>
      <c r="G94" s="152">
        <f>F94*$L$1</f>
        <v>116000</v>
      </c>
      <c r="H94" s="153"/>
      <c r="I94" s="81"/>
      <c r="J94" s="75"/>
      <c r="K94" s="75"/>
      <c r="L94" s="75"/>
      <c r="M94" s="75"/>
      <c r="N94" s="75"/>
      <c r="O94" s="75"/>
    </row>
    <row r="95" spans="1:15" ht="16.5">
      <c r="A95" s="187" t="s">
        <v>7</v>
      </c>
      <c r="B95" s="178">
        <v>662</v>
      </c>
      <c r="C95" s="178">
        <v>682</v>
      </c>
      <c r="D95" s="259"/>
      <c r="E95" s="188">
        <f>C95-B95</f>
        <v>20</v>
      </c>
      <c r="F95" s="57">
        <f>E95</f>
        <v>20</v>
      </c>
      <c r="G95" s="196">
        <f>F95*$L$2</f>
        <v>360000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customHeight="1">
      <c r="A96" s="159" t="s">
        <v>248</v>
      </c>
      <c r="B96" s="197"/>
      <c r="C96" s="197"/>
      <c r="D96" s="197"/>
      <c r="E96" s="161"/>
      <c r="F96" s="162"/>
      <c r="G96" s="199"/>
      <c r="H96" s="202">
        <f>SUM(G97:G98)</f>
        <v>0</v>
      </c>
      <c r="I96" s="142"/>
      <c r="J96" s="120"/>
      <c r="K96" s="120"/>
      <c r="L96" s="120"/>
      <c r="M96" s="120"/>
      <c r="N96" s="120"/>
      <c r="O96" s="120"/>
    </row>
    <row r="97" spans="1:15" ht="16.5">
      <c r="A97" s="187" t="s">
        <v>6</v>
      </c>
      <c r="B97" s="187">
        <v>3011</v>
      </c>
      <c r="C97" s="187">
        <v>3011</v>
      </c>
      <c r="D97" s="259">
        <v>0</v>
      </c>
      <c r="E97" s="61">
        <f>C97-B97</f>
        <v>0</v>
      </c>
      <c r="F97" s="62">
        <f>E97</f>
        <v>0</v>
      </c>
      <c r="G97" s="200">
        <f>F97*$L$1</f>
        <v>0</v>
      </c>
      <c r="H97" s="227"/>
      <c r="I97" s="81"/>
      <c r="J97" s="75"/>
      <c r="K97" s="75"/>
      <c r="L97" s="75"/>
      <c r="M97" s="75"/>
      <c r="N97" s="75"/>
      <c r="O97" s="75"/>
    </row>
    <row r="98" spans="1:15" ht="16.5">
      <c r="A98" s="187" t="s">
        <v>7</v>
      </c>
      <c r="B98" s="187">
        <v>1085</v>
      </c>
      <c r="C98" s="187">
        <v>1085</v>
      </c>
      <c r="D98" s="259"/>
      <c r="E98" s="188">
        <f>C98-B98</f>
        <v>0</v>
      </c>
      <c r="F98" s="57">
        <f>IF(D97=0,0,(E98/(D97+D100)*D97))</f>
        <v>0</v>
      </c>
      <c r="G98" s="201">
        <f>F98*$L$2</f>
        <v>0</v>
      </c>
      <c r="H98" s="179"/>
      <c r="I98" s="81"/>
      <c r="J98" s="75"/>
      <c r="K98" s="75"/>
      <c r="L98" s="75"/>
      <c r="M98" s="75"/>
      <c r="N98" s="75"/>
      <c r="O98" s="75"/>
    </row>
    <row r="99" spans="1:15" s="165" customFormat="1" ht="23.25" customHeight="1">
      <c r="A99" s="159" t="s">
        <v>249</v>
      </c>
      <c r="B99" s="197"/>
      <c r="C99" s="197"/>
      <c r="D99" s="197"/>
      <c r="E99" s="161"/>
      <c r="F99" s="162"/>
      <c r="G99" s="197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>
      <c r="A100" s="189" t="s">
        <v>6</v>
      </c>
      <c r="B100" s="189">
        <v>2520</v>
      </c>
      <c r="C100" s="189">
        <v>2520</v>
      </c>
      <c r="D100" s="259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>
      <c r="A101" s="187" t="s">
        <v>7</v>
      </c>
      <c r="B101" s="187">
        <f>B98</f>
        <v>1085</v>
      </c>
      <c r="C101" s="187">
        <f>C98</f>
        <v>1085</v>
      </c>
      <c r="D101" s="259"/>
      <c r="E101" s="188">
        <f>C101-B101</f>
        <v>0</v>
      </c>
      <c r="F101" s="57">
        <f>IF(D100=0,0,(E101/(D100+D97)*D100))</f>
        <v>0</v>
      </c>
      <c r="G101" s="196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>
      <c r="A102" s="159" t="s">
        <v>250</v>
      </c>
      <c r="B102" s="197"/>
      <c r="C102" s="197"/>
      <c r="D102" s="197"/>
      <c r="E102" s="161"/>
      <c r="F102" s="162"/>
      <c r="G102" s="197"/>
      <c r="H102" s="163">
        <f>IF(D103=0,0,IF(D106=0,SUM(G103:G104)+G106,SUM(G103:G104)))</f>
        <v>437300</v>
      </c>
      <c r="I102" s="142">
        <f>IF(D106=0,SUM(G103:G104)+G106,SUM(G103:G104))</f>
        <v>437300</v>
      </c>
      <c r="J102" s="120">
        <f>IF(D103=0,0,IF(D106=0,SUM(G103:G104)+G106,SUM(G103:G104)))</f>
        <v>437300</v>
      </c>
      <c r="K102" s="120"/>
      <c r="L102" s="120"/>
      <c r="M102" s="120"/>
      <c r="N102" s="120"/>
      <c r="O102" s="120"/>
    </row>
    <row r="103" spans="1:15" ht="16.5">
      <c r="A103" s="189" t="s">
        <v>6</v>
      </c>
      <c r="B103" s="189">
        <v>3151</v>
      </c>
      <c r="C103" s="189">
        <v>3218</v>
      </c>
      <c r="D103" s="259">
        <f>VLOOKUP(RIGHT(LEFT(A102,11),4),'so nguoi'!$E$8:$N$21,2,0)</f>
        <v>5</v>
      </c>
      <c r="E103" s="61">
        <f>C103-B103</f>
        <v>67</v>
      </c>
      <c r="F103" s="62">
        <f>E103</f>
        <v>67</v>
      </c>
      <c r="G103" s="152">
        <f>F103*$L$1</f>
        <v>194300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>
      <c r="A104" s="187" t="s">
        <v>7</v>
      </c>
      <c r="B104" s="187">
        <v>1313</v>
      </c>
      <c r="C104" s="187">
        <v>1340</v>
      </c>
      <c r="D104" s="259"/>
      <c r="E104" s="188">
        <f>C104-B104</f>
        <v>27</v>
      </c>
      <c r="F104" s="57">
        <f>IF(D103=0,0,(E104/(D103+D106)*D103))</f>
        <v>13.5</v>
      </c>
      <c r="G104" s="196">
        <f>F104*$L$2</f>
        <v>243000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customHeight="1">
      <c r="A105" s="159" t="s">
        <v>251</v>
      </c>
      <c r="B105" s="197"/>
      <c r="C105" s="197"/>
      <c r="D105" s="197"/>
      <c r="E105" s="161"/>
      <c r="F105" s="162"/>
      <c r="G105" s="197"/>
      <c r="H105" s="163">
        <f>IF(D106=0,0,IF(D103=0,SUM(G106:G107)+G103,SUM(G106:G107)))</f>
        <v>512700</v>
      </c>
      <c r="I105" s="142"/>
      <c r="J105" s="120"/>
      <c r="K105" s="120"/>
      <c r="L105" s="120"/>
      <c r="M105" s="120"/>
      <c r="N105" s="120"/>
      <c r="O105" s="120"/>
    </row>
    <row r="106" spans="1:15" ht="16.5">
      <c r="A106" s="189" t="s">
        <v>6</v>
      </c>
      <c r="B106" s="189">
        <v>2671</v>
      </c>
      <c r="C106" s="214">
        <v>2764</v>
      </c>
      <c r="D106" s="259">
        <f>VLOOKUP(RIGHT(LEFT(A105,11),4),'so nguoi'!$E$8:$N$21,2,0)</f>
        <v>5</v>
      </c>
      <c r="E106" s="61">
        <f>C106-B106</f>
        <v>93</v>
      </c>
      <c r="F106" s="62">
        <f>E106</f>
        <v>93</v>
      </c>
      <c r="G106" s="152">
        <f>F106*$L$1</f>
        <v>269700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>
      <c r="A107" s="187" t="s">
        <v>7</v>
      </c>
      <c r="B107" s="187">
        <f>B104</f>
        <v>1313</v>
      </c>
      <c r="C107" s="187">
        <f>C104</f>
        <v>1340</v>
      </c>
      <c r="D107" s="259"/>
      <c r="E107" s="188">
        <f>C107-B107</f>
        <v>27</v>
      </c>
      <c r="F107" s="57">
        <f>IF(D106=0,0,(E107/(D106+D103)*D106))</f>
        <v>13.5</v>
      </c>
      <c r="G107" s="196">
        <f>F107*$L$2</f>
        <v>243000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customHeight="1">
      <c r="A108" s="159" t="s">
        <v>252</v>
      </c>
      <c r="B108" s="197"/>
      <c r="C108" s="197"/>
      <c r="D108" s="197"/>
      <c r="E108" s="161"/>
      <c r="F108" s="162"/>
      <c r="G108" s="197"/>
      <c r="H108" s="163">
        <f>SUM(G109:G110)</f>
        <v>418700</v>
      </c>
      <c r="I108" s="142"/>
      <c r="J108" s="120"/>
      <c r="K108" s="120"/>
      <c r="L108" s="120"/>
      <c r="M108" s="120"/>
      <c r="N108" s="120"/>
      <c r="O108" s="120"/>
    </row>
    <row r="109" spans="1:15" ht="16.5">
      <c r="A109" s="189" t="s">
        <v>6</v>
      </c>
      <c r="B109" s="189">
        <v>4351</v>
      </c>
      <c r="C109" s="189">
        <v>4424</v>
      </c>
      <c r="D109" s="259">
        <f>VLOOKUP(RIGHT(LEFT(A108,11),4),'so nguoi'!$E$8:$N$21,2,0)</f>
        <v>6</v>
      </c>
      <c r="E109" s="61">
        <f>C109-B109</f>
        <v>73</v>
      </c>
      <c r="F109" s="62">
        <f>E109</f>
        <v>73</v>
      </c>
      <c r="G109" s="152">
        <f>F109*$L$1</f>
        <v>211700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2" customFormat="1" ht="16.5">
      <c r="A110" s="187" t="s">
        <v>7</v>
      </c>
      <c r="B110" s="187">
        <v>1119</v>
      </c>
      <c r="C110" s="187">
        <v>1142</v>
      </c>
      <c r="D110" s="259"/>
      <c r="E110" s="188">
        <f>C110-B110</f>
        <v>23</v>
      </c>
      <c r="F110" s="57">
        <f>IF(D109=0,0,(E110/(D109+D112)*D109))</f>
        <v>11.5</v>
      </c>
      <c r="G110" s="196">
        <f>F110*$L$2</f>
        <v>207000</v>
      </c>
      <c r="H110" s="181"/>
      <c r="I110" s="183"/>
      <c r="J110" s="180"/>
      <c r="K110" s="180"/>
      <c r="L110" s="180"/>
      <c r="M110" s="180"/>
      <c r="N110" s="180"/>
      <c r="O110" s="180"/>
    </row>
    <row r="111" spans="1:15" s="2" customFormat="1" ht="23.25" customHeight="1">
      <c r="A111" s="159" t="s">
        <v>253</v>
      </c>
      <c r="B111" s="197"/>
      <c r="C111" s="197"/>
      <c r="D111" s="197"/>
      <c r="E111" s="161"/>
      <c r="F111" s="162"/>
      <c r="G111" s="197"/>
      <c r="H111" s="163">
        <f>SUM(G112:G113)</f>
        <v>375200</v>
      </c>
      <c r="I111" s="142"/>
      <c r="J111" s="120"/>
      <c r="K111" s="120"/>
      <c r="L111" s="120"/>
      <c r="M111" s="120"/>
      <c r="N111" s="120"/>
      <c r="O111" s="120"/>
    </row>
    <row r="112" spans="1:15" ht="16.5">
      <c r="A112" s="189" t="s">
        <v>6</v>
      </c>
      <c r="B112" s="189">
        <v>1766</v>
      </c>
      <c r="C112" s="189">
        <v>1824</v>
      </c>
      <c r="D112" s="259">
        <f>VLOOKUP(RIGHT(LEFT(A111,11),4),'so nguoi'!$E$8:$N$21,2,0)</f>
        <v>6</v>
      </c>
      <c r="E112" s="61">
        <f>C112-B112</f>
        <v>58</v>
      </c>
      <c r="F112" s="62">
        <f>E112</f>
        <v>58</v>
      </c>
      <c r="G112" s="152">
        <f>F112*$L$1</f>
        <v>168200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2" customFormat="1" ht="16.5">
      <c r="A113" s="187" t="s">
        <v>7</v>
      </c>
      <c r="B113" s="187">
        <f>B110</f>
        <v>1119</v>
      </c>
      <c r="C113" s="187">
        <f>C110</f>
        <v>1142</v>
      </c>
      <c r="D113" s="259"/>
      <c r="E113" s="188">
        <f>C113-B113</f>
        <v>23</v>
      </c>
      <c r="F113" s="57">
        <f>IF(D112=0,0,(E113/(D112+D109)*D112))</f>
        <v>11.5</v>
      </c>
      <c r="G113" s="196">
        <f>F113*$L$2</f>
        <v>207000</v>
      </c>
      <c r="H113" s="181"/>
      <c r="I113" s="183">
        <f>SUM(H66:H113)</f>
        <v>4761400</v>
      </c>
      <c r="J113" s="180"/>
      <c r="K113" s="180"/>
      <c r="L113" s="180"/>
      <c r="M113" s="180"/>
      <c r="N113" s="180"/>
      <c r="O113" s="180"/>
    </row>
    <row r="114" spans="1:15" s="185" customFormat="1" ht="23.25" customHeight="1">
      <c r="A114" s="159" t="s">
        <v>261</v>
      </c>
      <c r="B114" s="197"/>
      <c r="C114" s="197"/>
      <c r="D114" s="197"/>
      <c r="E114" s="161"/>
      <c r="F114" s="162"/>
      <c r="G114" s="197"/>
      <c r="H114" s="163">
        <f>IF(D115=0,0,IF(D118=0,SUM(G115:G116)+G118,SUM(G115:G116)))</f>
        <v>373200</v>
      </c>
      <c r="I114" s="195"/>
      <c r="J114" s="192"/>
      <c r="K114" s="192"/>
      <c r="L114" s="192"/>
      <c r="M114" s="192"/>
      <c r="N114" s="192"/>
      <c r="O114" s="192"/>
    </row>
    <row r="115" spans="1:15" s="184" customFormat="1" ht="16.5">
      <c r="A115" s="189" t="s">
        <v>6</v>
      </c>
      <c r="B115" s="189">
        <v>7023</v>
      </c>
      <c r="C115" s="189">
        <v>7071</v>
      </c>
      <c r="D115" s="259">
        <f>VLOOKUP(RIGHT(LEFT(A114,11),4),'so nguoi'!$E$8:$N$21,2,0)</f>
        <v>5</v>
      </c>
      <c r="E115" s="61">
        <f>C115-B115</f>
        <v>48</v>
      </c>
      <c r="F115" s="62">
        <f>E115</f>
        <v>48</v>
      </c>
      <c r="G115" s="152">
        <f>F115*$L$1</f>
        <v>139200</v>
      </c>
      <c r="H115" s="153"/>
      <c r="I115" s="191"/>
      <c r="J115" s="190"/>
      <c r="K115" s="190"/>
      <c r="L115" s="190"/>
      <c r="M115" s="190"/>
      <c r="N115" s="190"/>
      <c r="O115" s="190"/>
    </row>
    <row r="116" spans="1:15" s="182" customFormat="1" ht="16.5">
      <c r="A116" s="187" t="s">
        <v>7</v>
      </c>
      <c r="B116" s="187">
        <v>4097</v>
      </c>
      <c r="C116" s="187">
        <v>4110</v>
      </c>
      <c r="D116" s="259"/>
      <c r="E116" s="188">
        <f>C116-B116</f>
        <v>13</v>
      </c>
      <c r="F116" s="57">
        <f>IF(D115=0,0,(E116/(D115+D118)*D115))</f>
        <v>13</v>
      </c>
      <c r="G116" s="196">
        <f>F116*$L$2</f>
        <v>234000</v>
      </c>
      <c r="H116" s="181"/>
      <c r="I116" s="183"/>
      <c r="J116" s="180"/>
      <c r="K116" s="180"/>
      <c r="L116" s="180"/>
      <c r="M116" s="180"/>
      <c r="N116" s="180"/>
      <c r="O116" s="180"/>
    </row>
    <row r="117" spans="1:15" s="185" customFormat="1" ht="23.25" customHeight="1">
      <c r="A117" s="159" t="s">
        <v>262</v>
      </c>
      <c r="B117" s="197"/>
      <c r="C117" s="197"/>
      <c r="D117" s="197"/>
      <c r="E117" s="161"/>
      <c r="F117" s="162"/>
      <c r="G117" s="197"/>
      <c r="H117" s="163">
        <f>IF(D118=0,0,IF(D115=0,SUM(G118:G119)+G115,SUM(G118:G119)))</f>
        <v>0</v>
      </c>
      <c r="I117" s="195"/>
      <c r="J117" s="192"/>
      <c r="K117" s="192"/>
      <c r="L117" s="192"/>
      <c r="M117" s="192"/>
      <c r="N117" s="192"/>
      <c r="O117" s="192"/>
    </row>
    <row r="118" spans="1:15" s="184" customFormat="1" ht="16.5">
      <c r="A118" s="189" t="s">
        <v>6</v>
      </c>
      <c r="B118" s="189">
        <v>6652</v>
      </c>
      <c r="C118" s="189">
        <v>6652</v>
      </c>
      <c r="D118" s="259">
        <f>VLOOKUP(RIGHT(LEFT(A117,11),4),'so nguoi'!$E$8:$N$21,2,0)</f>
        <v>0</v>
      </c>
      <c r="E118" s="61">
        <f>C118-B118</f>
        <v>0</v>
      </c>
      <c r="F118" s="62">
        <f>E118</f>
        <v>0</v>
      </c>
      <c r="G118" s="152">
        <f>F118*$L$1</f>
        <v>0</v>
      </c>
      <c r="H118" s="153"/>
      <c r="I118" s="191"/>
      <c r="J118" s="190"/>
      <c r="K118" s="190"/>
      <c r="L118" s="190"/>
      <c r="M118" s="190"/>
      <c r="N118" s="190"/>
      <c r="O118" s="190"/>
    </row>
    <row r="119" spans="1:15" s="182" customFormat="1" ht="16.5">
      <c r="A119" s="187" t="s">
        <v>7</v>
      </c>
      <c r="B119" s="187">
        <f>B116</f>
        <v>4097</v>
      </c>
      <c r="C119" s="187">
        <f>C116</f>
        <v>4110</v>
      </c>
      <c r="D119" s="259"/>
      <c r="E119" s="188">
        <f>C119-B119</f>
        <v>13</v>
      </c>
      <c r="F119" s="57">
        <f>IF(D118=0,0,(E119/(D118+D115)*D118))</f>
        <v>0</v>
      </c>
      <c r="G119" s="196">
        <f>F119*$L$2</f>
        <v>0</v>
      </c>
      <c r="H119" s="181"/>
      <c r="I119" s="183">
        <f>SUM(H72:H119)</f>
        <v>4329600</v>
      </c>
      <c r="J119" s="180"/>
      <c r="K119" s="180"/>
      <c r="L119" s="180"/>
      <c r="M119" s="180"/>
      <c r="N119" s="180"/>
      <c r="O119" s="180"/>
    </row>
    <row r="120" spans="1:15" s="185" customFormat="1" ht="23.25" customHeight="1">
      <c r="A120" s="159" t="s">
        <v>263</v>
      </c>
      <c r="B120" s="197"/>
      <c r="C120" s="197"/>
      <c r="D120" s="197"/>
      <c r="E120" s="161"/>
      <c r="F120" s="162"/>
      <c r="G120" s="197"/>
      <c r="H120" s="163">
        <f>SUM(G121:G122)</f>
        <v>0</v>
      </c>
      <c r="I120" s="195"/>
      <c r="J120" s="192"/>
      <c r="K120" s="192"/>
      <c r="L120" s="192"/>
      <c r="M120" s="192"/>
      <c r="N120" s="192"/>
      <c r="O120" s="192"/>
    </row>
    <row r="121" spans="1:15" s="184" customFormat="1" ht="16.5">
      <c r="A121" s="189" t="s">
        <v>6</v>
      </c>
      <c r="B121" s="189">
        <v>129</v>
      </c>
      <c r="C121" s="189">
        <v>129</v>
      </c>
      <c r="D121" s="259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191"/>
      <c r="J121" s="190"/>
      <c r="K121" s="190"/>
      <c r="L121" s="190"/>
      <c r="M121" s="190"/>
      <c r="N121" s="190"/>
      <c r="O121" s="190"/>
    </row>
    <row r="122" spans="1:15" s="182" customFormat="1" ht="16.5">
      <c r="A122" s="187" t="s">
        <v>7</v>
      </c>
      <c r="B122" s="187">
        <v>3180</v>
      </c>
      <c r="C122" s="187">
        <v>3180</v>
      </c>
      <c r="D122" s="259"/>
      <c r="E122" s="188">
        <f>C122-B122</f>
        <v>0</v>
      </c>
      <c r="F122" s="57">
        <f>IF(D121=0,0,(E122/(D121+D124)*D121))</f>
        <v>0</v>
      </c>
      <c r="G122" s="196">
        <f>F122*$L$2</f>
        <v>0</v>
      </c>
      <c r="H122" s="181"/>
      <c r="I122" s="183"/>
      <c r="J122" s="180"/>
      <c r="K122" s="180"/>
      <c r="L122" s="180"/>
      <c r="M122" s="180"/>
      <c r="N122" s="180"/>
      <c r="O122" s="180"/>
    </row>
    <row r="123" spans="1:15" s="185" customFormat="1" ht="23.25" customHeight="1">
      <c r="A123" s="159" t="s">
        <v>264</v>
      </c>
      <c r="B123" s="197"/>
      <c r="C123" s="197"/>
      <c r="D123" s="197"/>
      <c r="E123" s="161"/>
      <c r="F123" s="162"/>
      <c r="G123" s="197"/>
      <c r="H123" s="163">
        <f>SUM(G124:G125)</f>
        <v>0</v>
      </c>
      <c r="I123" s="195"/>
      <c r="J123" s="192"/>
      <c r="K123" s="192"/>
      <c r="L123" s="192"/>
      <c r="M123" s="192"/>
      <c r="N123" s="192"/>
      <c r="O123" s="192"/>
    </row>
    <row r="124" spans="1:15" s="184" customFormat="1" ht="16.5">
      <c r="A124" s="189" t="s">
        <v>6</v>
      </c>
      <c r="B124" s="189">
        <v>7411</v>
      </c>
      <c r="C124" s="189">
        <v>7411</v>
      </c>
      <c r="D124" s="259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191"/>
      <c r="J124" s="190"/>
      <c r="K124" s="190"/>
      <c r="L124" s="190"/>
      <c r="M124" s="190"/>
      <c r="N124" s="190"/>
      <c r="O124" s="190"/>
    </row>
    <row r="125" spans="1:15" s="182" customFormat="1" ht="16.5">
      <c r="A125" s="187" t="s">
        <v>7</v>
      </c>
      <c r="B125" s="187">
        <f>B122</f>
        <v>3180</v>
      </c>
      <c r="C125" s="187">
        <f>C122</f>
        <v>3180</v>
      </c>
      <c r="D125" s="259"/>
      <c r="E125" s="188">
        <f>C125-B125</f>
        <v>0</v>
      </c>
      <c r="F125" s="57">
        <f>IF(D124=0,0,(E125/(D124+D121)*D124))</f>
        <v>0</v>
      </c>
      <c r="G125" s="196">
        <f>F125*$L$2</f>
        <v>0</v>
      </c>
      <c r="H125" s="181"/>
      <c r="I125" s="183">
        <f>SUM(H78:H125)</f>
        <v>3528600</v>
      </c>
      <c r="J125" s="180"/>
      <c r="K125" s="180"/>
      <c r="L125" s="180"/>
      <c r="M125" s="180"/>
      <c r="N125" s="180"/>
      <c r="O125" s="180"/>
    </row>
    <row r="126" spans="1:15" s="185" customFormat="1" ht="23.25" customHeight="1">
      <c r="A126" s="159" t="s">
        <v>265</v>
      </c>
      <c r="B126" s="197"/>
      <c r="C126" s="197"/>
      <c r="D126" s="197"/>
      <c r="E126" s="161"/>
      <c r="F126" s="162"/>
      <c r="G126" s="197"/>
      <c r="H126" s="163">
        <f>SUM(G127:G128)</f>
        <v>626900</v>
      </c>
      <c r="I126" s="195"/>
      <c r="J126" s="192"/>
      <c r="K126" s="192"/>
      <c r="L126" s="192"/>
      <c r="M126" s="192"/>
      <c r="N126" s="192"/>
      <c r="O126" s="192"/>
    </row>
    <row r="127" spans="1:15" s="184" customFormat="1" ht="16.5">
      <c r="A127" s="189" t="s">
        <v>6</v>
      </c>
      <c r="B127" s="189">
        <v>3189</v>
      </c>
      <c r="C127" s="189">
        <v>3250</v>
      </c>
      <c r="D127" s="259">
        <v>5</v>
      </c>
      <c r="E127" s="61">
        <f>C127-B127</f>
        <v>61</v>
      </c>
      <c r="F127" s="62">
        <f>E127</f>
        <v>61</v>
      </c>
      <c r="G127" s="152">
        <f>F127*$L$1</f>
        <v>176900</v>
      </c>
      <c r="H127" s="153"/>
      <c r="I127" s="191"/>
      <c r="J127" s="190"/>
      <c r="K127" s="190"/>
      <c r="L127" s="190"/>
      <c r="M127" s="190"/>
      <c r="N127" s="190"/>
      <c r="O127" s="190"/>
    </row>
    <row r="128" spans="1:15" s="182" customFormat="1" ht="16.5">
      <c r="A128" s="187" t="s">
        <v>7</v>
      </c>
      <c r="B128" s="252">
        <v>2137</v>
      </c>
      <c r="C128" s="252">
        <v>2162</v>
      </c>
      <c r="D128" s="259"/>
      <c r="E128" s="188">
        <f>C128-B128</f>
        <v>25</v>
      </c>
      <c r="F128" s="57">
        <f>IF(D127=0,0,(E128/(D127+D124)*D127))</f>
        <v>25</v>
      </c>
      <c r="G128" s="196">
        <f>F128*$L$2</f>
        <v>450000</v>
      </c>
      <c r="H128" s="181"/>
      <c r="I128" s="183">
        <f>SUM(H81:H128)</f>
        <v>3884800</v>
      </c>
      <c r="J128" s="180"/>
      <c r="K128" s="180"/>
      <c r="L128" s="180"/>
      <c r="M128" s="180"/>
      <c r="N128" s="180"/>
      <c r="O128" s="180"/>
    </row>
    <row r="129" spans="1:15" s="185" customFormat="1" ht="23.25" customHeight="1">
      <c r="A129" s="159" t="s">
        <v>266</v>
      </c>
      <c r="B129" s="197" t="s">
        <v>301</v>
      </c>
      <c r="C129" s="197" t="s">
        <v>301</v>
      </c>
      <c r="D129" s="197"/>
      <c r="E129" s="161"/>
      <c r="F129" s="162"/>
      <c r="G129" s="197"/>
      <c r="H129" s="163">
        <f>SUM(G130:G130)</f>
        <v>0</v>
      </c>
      <c r="I129" s="195">
        <f>SUM(H6:H129)</f>
        <v>12561100</v>
      </c>
      <c r="J129" s="192"/>
      <c r="K129" s="192"/>
      <c r="L129" s="192"/>
      <c r="M129" s="192"/>
      <c r="N129" s="192"/>
      <c r="O129" s="192"/>
    </row>
    <row r="130" spans="1:15" s="184" customFormat="1" ht="16.5">
      <c r="A130" s="189" t="s">
        <v>6</v>
      </c>
      <c r="B130" s="189">
        <v>4979</v>
      </c>
      <c r="C130" s="189">
        <v>4979</v>
      </c>
      <c r="D130" s="226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28"/>
      <c r="I130" s="191"/>
      <c r="J130" s="190"/>
      <c r="K130" s="190"/>
      <c r="L130" s="190"/>
      <c r="M130" s="190"/>
      <c r="N130" s="190"/>
      <c r="O130" s="190"/>
    </row>
    <row r="131" spans="1:15" s="165" customFormat="1" ht="23.25" customHeight="1">
      <c r="A131" s="159" t="s">
        <v>267</v>
      </c>
      <c r="B131" s="197"/>
      <c r="C131" s="197"/>
      <c r="D131" s="197"/>
      <c r="E131" s="161"/>
      <c r="F131" s="162"/>
      <c r="G131" s="197"/>
      <c r="H131" s="163">
        <f>SUM(G132:G132)</f>
        <v>0</v>
      </c>
      <c r="I131" s="164">
        <f>SUM(H8:H131)</f>
        <v>12561100</v>
      </c>
      <c r="J131" s="155"/>
      <c r="K131" s="155"/>
      <c r="L131" s="155"/>
      <c r="M131" s="155"/>
      <c r="N131" s="155"/>
      <c r="O131" s="155"/>
    </row>
    <row r="132" spans="1:15" s="184" customFormat="1" ht="16.5">
      <c r="A132" s="189" t="s">
        <v>6</v>
      </c>
      <c r="B132" s="189">
        <v>7706</v>
      </c>
      <c r="C132" s="189">
        <v>7706</v>
      </c>
      <c r="D132" s="226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191"/>
      <c r="J132" s="190"/>
      <c r="K132" s="190"/>
      <c r="L132" s="190"/>
      <c r="M132" s="190"/>
      <c r="N132" s="190"/>
      <c r="O132" s="190"/>
    </row>
    <row r="133" spans="1:15" s="2" customFormat="1" ht="23.25" customHeight="1">
      <c r="A133" s="159" t="s">
        <v>254</v>
      </c>
      <c r="B133" s="197"/>
      <c r="C133" s="197"/>
      <c r="D133" s="197"/>
      <c r="E133" s="161"/>
      <c r="F133" s="162"/>
      <c r="G133" s="199"/>
      <c r="H133" s="202">
        <f>SUM(G134:G135)</f>
        <v>0</v>
      </c>
      <c r="I133" s="142">
        <f>SUM(H9:H133)</f>
        <v>12561100</v>
      </c>
      <c r="J133" s="120"/>
      <c r="K133" s="120"/>
      <c r="L133" s="120"/>
      <c r="M133" s="120"/>
      <c r="N133" s="120"/>
      <c r="O133" s="120"/>
    </row>
    <row r="134" spans="1:15" ht="16.5">
      <c r="A134" s="189" t="s">
        <v>6</v>
      </c>
      <c r="B134" s="189">
        <v>0</v>
      </c>
      <c r="C134" s="189">
        <v>0</v>
      </c>
      <c r="D134" s="259">
        <f>VLOOKUP(RIGHT(LEFT(A133,11),4),'so nguoi'!$E$8:$N$25,2,0)</f>
        <v>0</v>
      </c>
      <c r="E134" s="61">
        <f>C134-B134</f>
        <v>0</v>
      </c>
      <c r="F134" s="62">
        <f>E134/2</f>
        <v>0</v>
      </c>
      <c r="G134" s="152">
        <f>F134*$L$1</f>
        <v>0</v>
      </c>
      <c r="H134" s="227"/>
      <c r="I134" s="81"/>
      <c r="J134" s="75"/>
      <c r="K134" s="75"/>
      <c r="L134" s="75"/>
      <c r="M134" s="75"/>
      <c r="N134" s="75"/>
      <c r="O134" s="75"/>
    </row>
    <row r="135" spans="1:15" s="59" customFormat="1" ht="16.5">
      <c r="A135" s="187" t="s">
        <v>7</v>
      </c>
      <c r="B135" s="187">
        <v>0</v>
      </c>
      <c r="C135" s="187">
        <v>0</v>
      </c>
      <c r="D135" s="259"/>
      <c r="E135" s="188">
        <f>C135-B135</f>
        <v>0</v>
      </c>
      <c r="F135" s="57">
        <f>+E135/2</f>
        <v>0</v>
      </c>
      <c r="G135" s="196">
        <f>F135*$L$2</f>
        <v>0</v>
      </c>
      <c r="H135" s="179"/>
      <c r="I135" s="154">
        <f>SUM(H9:H135)</f>
        <v>12561100</v>
      </c>
      <c r="J135" s="156"/>
      <c r="K135" s="156"/>
      <c r="L135" s="156"/>
      <c r="M135" s="156"/>
      <c r="N135" s="156"/>
      <c r="O135" s="156"/>
    </row>
    <row r="136" spans="1:15" s="185" customFormat="1" ht="23.25" customHeight="1">
      <c r="A136" s="159" t="s">
        <v>268</v>
      </c>
      <c r="B136" s="197"/>
      <c r="C136" s="197"/>
      <c r="D136" s="197"/>
      <c r="E136" s="161"/>
      <c r="F136" s="162"/>
      <c r="G136" s="199"/>
      <c r="H136" s="202">
        <f>SUM(G137:G138)</f>
        <v>0</v>
      </c>
      <c r="I136" s="195">
        <f>SUM(H9:H136)</f>
        <v>12561100</v>
      </c>
      <c r="J136" s="192"/>
      <c r="K136" s="192"/>
      <c r="L136" s="192"/>
      <c r="M136" s="192"/>
      <c r="N136" s="192"/>
      <c r="O136" s="192"/>
    </row>
    <row r="137" spans="1:15" s="184" customFormat="1" ht="16.5">
      <c r="A137" s="189" t="s">
        <v>6</v>
      </c>
      <c r="B137" s="189">
        <v>0</v>
      </c>
      <c r="C137" s="189">
        <v>0</v>
      </c>
      <c r="D137" s="259">
        <f>VLOOKUP(RIGHT(LEFT(A136,11),4),'so nguoi'!$E$8:$N$25,2,0)</f>
        <v>0</v>
      </c>
      <c r="E137" s="61">
        <f>C137-B137</f>
        <v>0</v>
      </c>
      <c r="F137" s="62">
        <f>+E137/2</f>
        <v>0</v>
      </c>
      <c r="G137" s="152">
        <f>F137*$L$1</f>
        <v>0</v>
      </c>
      <c r="H137" s="227"/>
      <c r="I137" s="191"/>
      <c r="J137" s="190"/>
      <c r="K137" s="190"/>
      <c r="L137" s="190"/>
      <c r="M137" s="190"/>
      <c r="N137" s="190"/>
      <c r="O137" s="190"/>
    </row>
    <row r="138" spans="1:15" s="59" customFormat="1" ht="16.5">
      <c r="A138" s="187" t="s">
        <v>7</v>
      </c>
      <c r="B138" s="187">
        <v>0</v>
      </c>
      <c r="C138" s="187">
        <v>0</v>
      </c>
      <c r="D138" s="259"/>
      <c r="E138" s="188">
        <f>C138-B138</f>
        <v>0</v>
      </c>
      <c r="F138" s="57">
        <f>E138/4</f>
        <v>0</v>
      </c>
      <c r="G138" s="196">
        <f>F138*$L$2</f>
        <v>0</v>
      </c>
      <c r="H138" s="179"/>
      <c r="I138" s="154">
        <f>SUM(H9:H138)</f>
        <v>12561100</v>
      </c>
      <c r="J138" s="156"/>
      <c r="K138" s="156"/>
      <c r="L138" s="156"/>
      <c r="M138" s="156"/>
      <c r="N138" s="156"/>
      <c r="O138" s="156"/>
    </row>
    <row r="139" spans="1:15" s="185" customFormat="1" ht="23.25" customHeight="1">
      <c r="A139" s="159" t="s">
        <v>270</v>
      </c>
      <c r="B139" s="197"/>
      <c r="C139" s="197"/>
      <c r="D139" s="197"/>
      <c r="E139" s="161"/>
      <c r="F139" s="162"/>
      <c r="G139" s="199"/>
      <c r="H139" s="202">
        <f>SUM(G140:G141)</f>
        <v>0</v>
      </c>
      <c r="I139" s="195">
        <f>SUM(H5:H141)</f>
        <v>12561100</v>
      </c>
      <c r="J139" s="192"/>
      <c r="K139" s="192"/>
      <c r="L139" s="192"/>
      <c r="M139" s="192"/>
      <c r="N139" s="192"/>
      <c r="O139" s="192"/>
    </row>
    <row r="140" spans="1:15" s="184" customFormat="1" ht="16.5">
      <c r="A140" s="189" t="s">
        <v>6</v>
      </c>
      <c r="B140" s="189"/>
      <c r="C140" s="189"/>
      <c r="D140" s="259">
        <f>VLOOKUP(RIGHT(LEFT(A139,11),4),'so nguoi'!$E$8:$N$25,2,0)</f>
        <v>0</v>
      </c>
      <c r="E140" s="61">
        <f>C140-B140</f>
        <v>0</v>
      </c>
      <c r="F140" s="62">
        <f>E140/2</f>
        <v>0</v>
      </c>
      <c r="G140" s="200">
        <f>F140*$L$1</f>
        <v>0</v>
      </c>
      <c r="H140" s="227"/>
      <c r="I140" s="191"/>
      <c r="J140" s="190"/>
      <c r="K140" s="190"/>
      <c r="L140" s="190"/>
      <c r="M140" s="190"/>
      <c r="N140" s="190"/>
      <c r="O140" s="190"/>
    </row>
    <row r="141" spans="1:15" s="59" customFormat="1" ht="16.5">
      <c r="A141" s="198" t="s">
        <v>7</v>
      </c>
      <c r="B141" s="198"/>
      <c r="C141" s="198"/>
      <c r="D141" s="259"/>
      <c r="E141" s="168">
        <f>C141-B141</f>
        <v>0</v>
      </c>
      <c r="F141" s="57">
        <f>E141/4</f>
        <v>0</v>
      </c>
      <c r="G141" s="203">
        <f>F141*$L$2</f>
        <v>0</v>
      </c>
      <c r="H141" s="179"/>
      <c r="I141" s="154">
        <f>SUM(H12:H141)</f>
        <v>12109000</v>
      </c>
      <c r="J141" s="156"/>
      <c r="K141" s="156"/>
      <c r="L141" s="156"/>
      <c r="M141" s="156"/>
      <c r="N141" s="156"/>
      <c r="O141" s="156"/>
    </row>
    <row r="142" spans="1:15" ht="24" customHeight="1">
      <c r="A142" s="267" t="s">
        <v>13</v>
      </c>
      <c r="B142" s="268"/>
      <c r="C142" s="268"/>
      <c r="D142" s="268"/>
      <c r="E142" s="268"/>
      <c r="F142" s="269"/>
      <c r="G142" s="73">
        <f ca="1">SUMIF($A$8:$F$141,"Điện",G8:G141)</f>
        <v>5217100</v>
      </c>
      <c r="H142" s="73">
        <f ca="1">SUMIF($A$8:$F$141,"Điện",F8:F141)</f>
        <v>1799</v>
      </c>
      <c r="I142" s="121">
        <f ca="1">H142*2200</f>
        <v>3957800</v>
      </c>
      <c r="J142" s="75"/>
      <c r="K142" s="75"/>
      <c r="L142" s="75"/>
      <c r="M142" s="75"/>
      <c r="N142" s="75"/>
      <c r="O142" s="75"/>
    </row>
    <row r="143" spans="1:15" ht="30" customHeight="1">
      <c r="A143" s="267" t="s">
        <v>14</v>
      </c>
      <c r="B143" s="268"/>
      <c r="C143" s="268"/>
      <c r="D143" s="268"/>
      <c r="E143" s="268"/>
      <c r="F143" s="269"/>
      <c r="G143" s="73">
        <f ca="1">SUMIF($A$8:$F$141,"Nước",G8:G141)</f>
        <v>7344000</v>
      </c>
      <c r="H143" s="73">
        <f ca="1">SUMIF($A$9:$E$141,A65,$F$9:$F$141)</f>
        <v>408</v>
      </c>
      <c r="I143" s="121">
        <f ca="1">H143*15000</f>
        <v>6120000</v>
      </c>
      <c r="J143" s="75"/>
      <c r="K143" s="75"/>
      <c r="L143" s="75"/>
      <c r="M143" s="75"/>
      <c r="N143" s="75"/>
      <c r="O143" s="75"/>
    </row>
    <row r="144" spans="1:15" ht="28.15" customHeight="1">
      <c r="A144" s="267" t="s">
        <v>15</v>
      </c>
      <c r="B144" s="268"/>
      <c r="C144" s="268"/>
      <c r="D144" s="268"/>
      <c r="E144" s="268"/>
      <c r="F144" s="269"/>
      <c r="G144" s="73">
        <f ca="1">SUM(G142:G143)</f>
        <v>12561100</v>
      </c>
      <c r="H144" s="74"/>
      <c r="I144" s="121">
        <f ca="1">I142+I143</f>
        <v>10077800</v>
      </c>
      <c r="J144" s="121">
        <f ca="1">I144-G144</f>
        <v>-2483300</v>
      </c>
      <c r="K144" s="75"/>
      <c r="L144" s="75"/>
      <c r="M144" s="75"/>
      <c r="N144" s="253"/>
      <c r="O144" s="75"/>
    </row>
    <row r="145" spans="1:15">
      <c r="A145" s="75"/>
      <c r="B145" s="190"/>
      <c r="C145" s="190"/>
      <c r="D145" s="77"/>
      <c r="E145" s="78"/>
      <c r="F145" s="270" t="str">
        <f ca="1">" TP. Hồ Chí Minh, ngày "&amp;DAY(NOW())&amp;" tháng "&amp;MONTH(NOW())&amp;" năm "&amp;YEAR(NOW())</f>
        <v xml:space="preserve"> TP. Hồ Chí Minh, ngày 7 tháng 1 năm 2021</v>
      </c>
      <c r="G145" s="270"/>
      <c r="H145" s="270"/>
      <c r="I145" s="81"/>
      <c r="J145" s="121"/>
      <c r="K145" s="121"/>
      <c r="L145" s="193"/>
      <c r="M145" s="75"/>
      <c r="N145" s="75"/>
      <c r="O145" s="75"/>
    </row>
    <row r="146" spans="1:15">
      <c r="A146" s="271" t="s">
        <v>17</v>
      </c>
      <c r="B146" s="271"/>
      <c r="C146" s="271"/>
      <c r="D146" s="77"/>
      <c r="E146" s="78"/>
      <c r="F146" s="272" t="s">
        <v>16</v>
      </c>
      <c r="G146" s="272"/>
      <c r="H146" s="272"/>
      <c r="I146" s="81">
        <f ca="1">G144/2</f>
        <v>6280550</v>
      </c>
      <c r="J146" s="121"/>
      <c r="K146" s="75"/>
      <c r="L146" s="75"/>
      <c r="M146" s="75"/>
      <c r="N146" s="75"/>
      <c r="O146" s="75"/>
    </row>
    <row r="147" spans="1:15">
      <c r="A147" s="75"/>
      <c r="B147" s="190"/>
      <c r="C147" s="190"/>
      <c r="D147" s="77"/>
      <c r="E147" s="234"/>
      <c r="F147" s="234"/>
      <c r="G147" s="204"/>
      <c r="H147" s="81"/>
    </row>
    <row r="148" spans="1:15">
      <c r="A148" s="75"/>
      <c r="B148" s="190"/>
      <c r="C148" s="190"/>
      <c r="D148" s="77"/>
      <c r="E148" s="234"/>
      <c r="F148" s="234"/>
      <c r="G148" s="204"/>
      <c r="H148" s="75"/>
    </row>
    <row r="149" spans="1:15">
      <c r="A149" s="75"/>
      <c r="B149" s="190"/>
      <c r="C149" s="190"/>
      <c r="D149" s="77"/>
      <c r="E149" s="234"/>
      <c r="F149" s="204"/>
      <c r="G149" s="82"/>
      <c r="H149" s="75"/>
    </row>
    <row r="150" spans="1:15">
      <c r="A150" s="263" t="s">
        <v>303</v>
      </c>
      <c r="B150" s="263"/>
      <c r="C150" s="263"/>
      <c r="D150" s="77"/>
      <c r="E150" s="78"/>
      <c r="F150" s="264" t="s">
        <v>205</v>
      </c>
      <c r="G150" s="264"/>
      <c r="H150" s="264"/>
    </row>
    <row r="151" spans="1:15" ht="24.4" customHeight="1">
      <c r="A151" s="1"/>
      <c r="I151"/>
    </row>
    <row r="152" spans="1:15" ht="28.15" customHeight="1">
      <c r="A152" s="265"/>
      <c r="B152" s="265"/>
      <c r="D152"/>
      <c r="E152"/>
      <c r="F152" s="59"/>
      <c r="G152"/>
      <c r="I152"/>
    </row>
    <row r="153" spans="1:15" ht="24.4" customHeight="1">
      <c r="D153"/>
      <c r="E153"/>
      <c r="F153" s="59"/>
      <c r="G153"/>
      <c r="I153"/>
    </row>
    <row r="154" spans="1:15" ht="30" customHeight="1">
      <c r="I154"/>
    </row>
    <row r="155" spans="1:15" ht="28.15" customHeight="1">
      <c r="I155"/>
    </row>
    <row r="156" spans="1:15" ht="24.4" customHeight="1">
      <c r="I156"/>
    </row>
    <row r="157" spans="1:15" ht="27.75" customHeight="1">
      <c r="I157"/>
    </row>
    <row r="158" spans="1:15" ht="28.15" customHeight="1">
      <c r="I158"/>
    </row>
    <row r="159" spans="1:15" s="2" customFormat="1" ht="24.4" customHeight="1">
      <c r="A159"/>
      <c r="B159" s="184"/>
      <c r="C159" s="184"/>
      <c r="D159" s="4"/>
      <c r="E159" s="3"/>
      <c r="F159" s="206"/>
      <c r="G159" s="3"/>
      <c r="H159"/>
    </row>
    <row r="160" spans="1:15" ht="30" customHeight="1">
      <c r="I160"/>
    </row>
    <row r="161" spans="1:9" ht="28.15" customHeight="1">
      <c r="I161"/>
    </row>
    <row r="162" spans="1:9" s="2" customFormat="1" ht="24.4" customHeight="1">
      <c r="A162"/>
      <c r="B162" s="184"/>
      <c r="C162" s="184"/>
      <c r="D162" s="4"/>
      <c r="E162" s="3"/>
      <c r="F162" s="206"/>
      <c r="G162" s="3"/>
      <c r="H162"/>
    </row>
    <row r="163" spans="1:9" ht="30.2" customHeight="1">
      <c r="I163"/>
    </row>
    <row r="164" spans="1:9" ht="28.15" customHeight="1">
      <c r="I164"/>
    </row>
    <row r="165" spans="1:9" s="2" customFormat="1" ht="24.4" customHeight="1">
      <c r="A165"/>
      <c r="B165" s="184"/>
      <c r="C165" s="184"/>
      <c r="D165" s="4"/>
      <c r="E165" s="3"/>
      <c r="F165" s="206"/>
      <c r="G165" s="3"/>
      <c r="H165"/>
    </row>
    <row r="166" spans="1:9" ht="30" customHeight="1">
      <c r="I166"/>
    </row>
    <row r="167" spans="1:9" ht="28.15" customHeight="1">
      <c r="I167"/>
    </row>
    <row r="168" spans="1:9" s="2" customFormat="1" ht="24.4" customHeight="1">
      <c r="A168"/>
      <c r="B168" s="184"/>
      <c r="C168" s="184"/>
      <c r="D168" s="4"/>
      <c r="E168" s="3"/>
      <c r="F168" s="206"/>
      <c r="G168" s="3"/>
      <c r="H168"/>
    </row>
    <row r="169" spans="1:9" ht="30" customHeight="1">
      <c r="I169"/>
    </row>
    <row r="170" spans="1:9" ht="28.15" customHeight="1">
      <c r="I170"/>
    </row>
    <row r="171" spans="1:9" s="2" customFormat="1" ht="24.4" customHeight="1">
      <c r="A171"/>
      <c r="B171" s="184"/>
      <c r="C171" s="184"/>
      <c r="D171" s="4"/>
      <c r="E171" s="3"/>
      <c r="F171" s="206"/>
      <c r="G171" s="3"/>
      <c r="H171"/>
    </row>
    <row r="172" spans="1:9" ht="30" customHeight="1">
      <c r="I172"/>
    </row>
    <row r="173" spans="1:9" ht="28.15" customHeight="1">
      <c r="I173"/>
    </row>
    <row r="174" spans="1:9" s="2" customFormat="1" ht="24.4" customHeight="1">
      <c r="A174"/>
      <c r="B174" s="184"/>
      <c r="C174" s="184"/>
      <c r="D174" s="4"/>
      <c r="E174" s="3"/>
      <c r="F174" s="206"/>
      <c r="G174" s="3"/>
      <c r="H174"/>
    </row>
    <row r="175" spans="1:9" ht="30" customHeight="1">
      <c r="I175"/>
    </row>
    <row r="176" spans="1:9" ht="28.15" customHeight="1">
      <c r="I176"/>
    </row>
    <row r="177" spans="1:9" s="2" customFormat="1" ht="24.4" customHeight="1">
      <c r="A177"/>
      <c r="B177" s="184"/>
      <c r="C177" s="184"/>
      <c r="D177" s="4"/>
      <c r="E177" s="3"/>
      <c r="F177" s="206"/>
      <c r="G177" s="3"/>
      <c r="H177"/>
    </row>
    <row r="178" spans="1:9" ht="30" customHeight="1">
      <c r="I178"/>
    </row>
    <row r="179" spans="1:9" ht="28.15" customHeight="1">
      <c r="I179"/>
    </row>
    <row r="180" spans="1:9" s="2" customFormat="1" ht="24.4" customHeight="1">
      <c r="A180"/>
      <c r="B180" s="184"/>
      <c r="C180" s="184"/>
      <c r="D180" s="4"/>
      <c r="E180" s="3"/>
      <c r="F180" s="206"/>
      <c r="G180" s="3"/>
      <c r="H180"/>
    </row>
    <row r="181" spans="1:9" ht="27.75" customHeight="1">
      <c r="I181"/>
    </row>
    <row r="182" spans="1:9" ht="28.15" customHeight="1">
      <c r="I182"/>
    </row>
    <row r="183" spans="1:9" s="2" customFormat="1" ht="24.4" customHeight="1">
      <c r="A183"/>
      <c r="B183" s="184"/>
      <c r="C183" s="184"/>
      <c r="D183" s="4"/>
      <c r="E183" s="3"/>
      <c r="F183" s="206"/>
      <c r="G183" s="3"/>
      <c r="H183"/>
    </row>
    <row r="184" spans="1:9" ht="30" customHeight="1">
      <c r="I184"/>
    </row>
    <row r="185" spans="1:9" ht="28.15" customHeight="1">
      <c r="I185"/>
    </row>
    <row r="186" spans="1:9" s="2" customFormat="1" ht="24.4" customHeight="1">
      <c r="A186"/>
      <c r="B186" s="184"/>
      <c r="C186" s="184"/>
      <c r="D186" s="4"/>
      <c r="E186" s="3"/>
      <c r="F186" s="206"/>
      <c r="G186" s="3"/>
      <c r="H186"/>
    </row>
    <row r="187" spans="1:9" ht="30.2" customHeight="1">
      <c r="I187"/>
    </row>
    <row r="188" spans="1:9" ht="28.15" customHeight="1">
      <c r="I188"/>
    </row>
    <row r="189" spans="1:9" s="2" customFormat="1" ht="24.4" customHeight="1">
      <c r="A189"/>
      <c r="B189" s="184"/>
      <c r="C189" s="184"/>
      <c r="D189" s="4"/>
      <c r="E189" s="3"/>
      <c r="F189" s="206"/>
      <c r="G189" s="3"/>
      <c r="H189"/>
    </row>
    <row r="190" spans="1:9" ht="30" customHeight="1">
      <c r="I190"/>
    </row>
    <row r="191" spans="1:9" ht="28.15" customHeight="1">
      <c r="I191"/>
    </row>
    <row r="192" spans="1:9" s="2" customFormat="1" ht="24.4" customHeight="1">
      <c r="A192"/>
      <c r="B192" s="184"/>
      <c r="C192" s="184"/>
      <c r="D192" s="4"/>
      <c r="E192" s="3"/>
      <c r="F192" s="206"/>
      <c r="G192" s="3"/>
      <c r="H192"/>
    </row>
    <row r="193" spans="1:9" ht="30" customHeight="1">
      <c r="I193"/>
    </row>
    <row r="194" spans="1:9" ht="28.15" customHeight="1">
      <c r="I194"/>
    </row>
    <row r="195" spans="1:9" s="2" customFormat="1" ht="24.4" customHeight="1">
      <c r="A195"/>
      <c r="B195" s="184"/>
      <c r="C195" s="184"/>
      <c r="D195" s="4"/>
      <c r="E195" s="3"/>
      <c r="F195" s="206"/>
      <c r="G195" s="3"/>
      <c r="H195"/>
    </row>
    <row r="196" spans="1:9" ht="30" customHeight="1">
      <c r="I196"/>
    </row>
    <row r="197" spans="1:9" ht="28.15" customHeight="1">
      <c r="I197"/>
    </row>
    <row r="198" spans="1:9" s="2" customFormat="1" ht="24.4" customHeight="1">
      <c r="A198"/>
      <c r="B198" s="184"/>
      <c r="C198" s="184"/>
      <c r="D198" s="4"/>
      <c r="E198" s="3"/>
      <c r="F198" s="206"/>
      <c r="G198" s="3"/>
      <c r="H198"/>
    </row>
    <row r="199" spans="1:9" ht="30" customHeight="1">
      <c r="I199"/>
    </row>
    <row r="200" spans="1:9" ht="28.15" customHeight="1">
      <c r="I200"/>
    </row>
    <row r="201" spans="1:9" s="2" customFormat="1" ht="24.4" customHeight="1">
      <c r="A201"/>
      <c r="B201" s="184"/>
      <c r="C201" s="184"/>
      <c r="D201" s="4"/>
      <c r="E201" s="3"/>
      <c r="F201" s="206"/>
      <c r="G201" s="3"/>
      <c r="H201"/>
    </row>
    <row r="202" spans="1:9" ht="30" customHeight="1">
      <c r="I202"/>
    </row>
    <row r="203" spans="1:9" ht="28.15" customHeight="1">
      <c r="I203"/>
    </row>
    <row r="204" spans="1:9" s="2" customFormat="1" ht="24.4" customHeight="1">
      <c r="A204"/>
      <c r="B204" s="184"/>
      <c r="C204" s="184"/>
      <c r="D204" s="4"/>
      <c r="E204" s="3"/>
      <c r="F204" s="206"/>
      <c r="G204" s="3"/>
      <c r="H204"/>
    </row>
    <row r="205" spans="1:9" ht="27.75" customHeight="1">
      <c r="I205"/>
    </row>
    <row r="206" spans="1:9" ht="28.15" customHeight="1">
      <c r="I206"/>
    </row>
    <row r="207" spans="1:9" s="2" customFormat="1" ht="24.4" customHeight="1">
      <c r="A207"/>
      <c r="B207" s="184"/>
      <c r="C207" s="184"/>
      <c r="D207" s="4"/>
      <c r="E207" s="3"/>
      <c r="F207" s="206"/>
      <c r="G207" s="3"/>
      <c r="H207"/>
    </row>
    <row r="208" spans="1:9" ht="30" customHeight="1">
      <c r="I208"/>
    </row>
    <row r="209" spans="1:9" ht="28.15" customHeight="1">
      <c r="I209"/>
    </row>
    <row r="210" spans="1:9" s="2" customFormat="1" ht="24.4" customHeight="1">
      <c r="A210"/>
      <c r="B210" s="184"/>
      <c r="C210" s="184"/>
      <c r="D210" s="4"/>
      <c r="E210" s="3"/>
      <c r="F210" s="206"/>
      <c r="G210" s="3"/>
      <c r="H210"/>
    </row>
    <row r="211" spans="1:9" ht="30.2" customHeight="1">
      <c r="I211"/>
    </row>
    <row r="212" spans="1:9" ht="28.15" customHeight="1">
      <c r="I212"/>
    </row>
    <row r="213" spans="1:9" s="2" customFormat="1" ht="24.4" customHeight="1">
      <c r="A213"/>
      <c r="B213" s="184"/>
      <c r="C213" s="184"/>
      <c r="D213" s="4"/>
      <c r="E213" s="3"/>
      <c r="F213" s="206"/>
      <c r="G213" s="3"/>
      <c r="H213"/>
    </row>
    <row r="214" spans="1:9" ht="30" customHeight="1">
      <c r="I214"/>
    </row>
    <row r="215" spans="1:9" ht="28.15" customHeight="1">
      <c r="I215"/>
    </row>
    <row r="216" spans="1:9" s="2" customFormat="1" ht="24.4" customHeight="1">
      <c r="A216"/>
      <c r="B216" s="184"/>
      <c r="C216" s="184"/>
      <c r="D216" s="4"/>
      <c r="E216" s="3"/>
      <c r="F216" s="206"/>
      <c r="G216" s="3"/>
      <c r="H216"/>
    </row>
    <row r="217" spans="1:9" ht="30" customHeight="1">
      <c r="I217"/>
    </row>
    <row r="218" spans="1:9" ht="28.15" customHeight="1">
      <c r="I218"/>
    </row>
    <row r="219" spans="1:9" s="2" customFormat="1" ht="24.4" customHeight="1">
      <c r="A219"/>
      <c r="B219" s="184"/>
      <c r="C219" s="184"/>
      <c r="D219" s="4"/>
      <c r="E219" s="3"/>
      <c r="F219" s="206"/>
      <c r="G219" s="3"/>
      <c r="H219"/>
    </row>
    <row r="220" spans="1:9" ht="30" customHeight="1">
      <c r="I220"/>
    </row>
    <row r="221" spans="1:9" ht="28.15" customHeight="1">
      <c r="I221"/>
    </row>
    <row r="222" spans="1:9" s="2" customFormat="1" ht="24.4" customHeight="1">
      <c r="A222"/>
      <c r="B222" s="184"/>
      <c r="C222" s="184"/>
      <c r="D222" s="4"/>
      <c r="E222" s="3"/>
      <c r="F222" s="206"/>
      <c r="G222" s="3"/>
      <c r="H222"/>
    </row>
    <row r="223" spans="1:9" ht="30" customHeight="1">
      <c r="I223"/>
    </row>
    <row r="224" spans="1:9" ht="28.15" customHeight="1">
      <c r="I224"/>
    </row>
    <row r="225" spans="1:9" ht="24.4" customHeight="1">
      <c r="I225"/>
    </row>
    <row r="226" spans="1:9" ht="30" customHeight="1">
      <c r="I226"/>
    </row>
    <row r="227" spans="1:9" ht="28.15" customHeight="1">
      <c r="I227"/>
    </row>
    <row r="228" spans="1:9" s="2" customFormat="1" ht="24.4" customHeight="1">
      <c r="A228"/>
      <c r="B228" s="184"/>
      <c r="C228" s="184"/>
      <c r="D228" s="4"/>
      <c r="E228" s="3"/>
      <c r="F228" s="206"/>
      <c r="G228" s="3"/>
      <c r="H228"/>
    </row>
    <row r="229" spans="1:9" ht="27.75" customHeight="1">
      <c r="I229"/>
    </row>
    <row r="230" spans="1:9" ht="28.15" customHeight="1">
      <c r="I230"/>
    </row>
    <row r="231" spans="1:9" s="2" customFormat="1" ht="24.4" customHeight="1">
      <c r="A231"/>
      <c r="B231" s="184"/>
      <c r="C231" s="184"/>
      <c r="D231" s="4"/>
      <c r="E231" s="3"/>
      <c r="F231" s="206"/>
      <c r="G231" s="3"/>
      <c r="H231"/>
    </row>
    <row r="232" spans="1:9" ht="30" customHeight="1">
      <c r="I232"/>
    </row>
    <row r="233" spans="1:9" ht="28.15" customHeight="1">
      <c r="I233"/>
    </row>
    <row r="234" spans="1:9" s="2" customFormat="1" ht="24.4" customHeight="1">
      <c r="A234"/>
      <c r="B234" s="184"/>
      <c r="C234" s="184"/>
      <c r="D234" s="4"/>
      <c r="E234" s="3"/>
      <c r="F234" s="206"/>
      <c r="G234" s="3"/>
      <c r="H234"/>
    </row>
    <row r="235" spans="1:9" ht="30" customHeight="1">
      <c r="I235"/>
    </row>
    <row r="236" spans="1:9" ht="28.15" customHeight="1">
      <c r="I236"/>
    </row>
    <row r="237" spans="1:9" s="2" customFormat="1" ht="24.4" customHeight="1">
      <c r="A237"/>
      <c r="B237" s="184"/>
      <c r="C237" s="184"/>
      <c r="D237" s="4"/>
      <c r="E237" s="3"/>
      <c r="F237" s="206"/>
      <c r="G237" s="3"/>
      <c r="H237"/>
    </row>
    <row r="238" spans="1:9" ht="30.6" customHeight="1">
      <c r="I238"/>
    </row>
    <row r="239" spans="1:9" s="2" customFormat="1" ht="24.4" customHeight="1">
      <c r="A239"/>
      <c r="B239" s="184"/>
      <c r="C239" s="184"/>
      <c r="D239" s="4"/>
      <c r="E239" s="3"/>
      <c r="F239" s="206"/>
      <c r="G239" s="3"/>
      <c r="H239"/>
    </row>
    <row r="240" spans="1:9" ht="30.4" customHeight="1">
      <c r="I240"/>
    </row>
    <row r="241" spans="1:11" s="2" customFormat="1" ht="24.4" customHeight="1">
      <c r="A241"/>
      <c r="B241" s="184"/>
      <c r="C241" s="184"/>
      <c r="D241" s="4"/>
      <c r="E241" s="3"/>
      <c r="F241" s="206"/>
      <c r="G241" s="3"/>
      <c r="H241"/>
    </row>
    <row r="242" spans="1:11" ht="30.4" customHeight="1">
      <c r="I242"/>
    </row>
    <row r="243" spans="1:11" s="2" customFormat="1" ht="24.4" customHeight="1">
      <c r="A243"/>
      <c r="B243" s="184"/>
      <c r="C243" s="184"/>
      <c r="D243" s="4"/>
      <c r="E243" s="3"/>
      <c r="F243" s="206"/>
      <c r="G243" s="3"/>
      <c r="H243"/>
    </row>
    <row r="244" spans="1:11" ht="30.4" customHeight="1">
      <c r="I244"/>
    </row>
    <row r="245" spans="1:11" s="2" customFormat="1" ht="24.4" customHeight="1">
      <c r="A245"/>
      <c r="B245" s="184"/>
      <c r="C245" s="184"/>
      <c r="D245" s="4"/>
      <c r="E245" s="3"/>
      <c r="F245" s="206"/>
      <c r="G245" s="3"/>
      <c r="H245"/>
    </row>
    <row r="246" spans="1:11" ht="30.4" customHeight="1">
      <c r="I246"/>
    </row>
    <row r="249" spans="1:11">
      <c r="J249" s="25"/>
    </row>
    <row r="251" spans="1:11">
      <c r="J251" s="25"/>
      <c r="K251" s="25"/>
    </row>
    <row r="252" spans="1:11">
      <c r="J252" s="25"/>
    </row>
  </sheetData>
  <autoFilter ref="A8:O146"/>
  <mergeCells count="56"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  <mergeCell ref="D82:D83"/>
    <mergeCell ref="D88:D89"/>
    <mergeCell ref="D91:D92"/>
    <mergeCell ref="D94:D95"/>
    <mergeCell ref="D97:D98"/>
    <mergeCell ref="D85:D86"/>
    <mergeCell ref="D67:D68"/>
    <mergeCell ref="D70:D71"/>
    <mergeCell ref="D73:D74"/>
    <mergeCell ref="D76:D77"/>
    <mergeCell ref="D79:D80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D16:D17"/>
    <mergeCell ref="A1:H1"/>
    <mergeCell ref="A2:H2"/>
    <mergeCell ref="A4:H4"/>
    <mergeCell ref="D10:D11"/>
    <mergeCell ref="D13:D14"/>
  </mergeCells>
  <pageMargins left="0.47" right="0.25" top="0.42" bottom="0.41" header="0.18" footer="0.19"/>
  <pageSetup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>
      <c r="A1" s="260" t="s">
        <v>187</v>
      </c>
      <c r="B1" s="260"/>
      <c r="C1" s="260"/>
      <c r="D1" s="260"/>
      <c r="E1" s="260"/>
      <c r="F1" s="260"/>
      <c r="G1" s="260"/>
      <c r="H1" s="260"/>
      <c r="K1" t="s">
        <v>9</v>
      </c>
      <c r="L1">
        <v>2200</v>
      </c>
    </row>
    <row r="2" spans="1:15" ht="15.75">
      <c r="A2" s="261" t="s">
        <v>188</v>
      </c>
      <c r="B2" s="261"/>
      <c r="C2" s="261"/>
      <c r="D2" s="261"/>
      <c r="E2" s="261"/>
      <c r="F2" s="261"/>
      <c r="G2" s="261"/>
      <c r="H2" s="261"/>
      <c r="K2" t="s">
        <v>10</v>
      </c>
      <c r="L2">
        <v>15000</v>
      </c>
    </row>
    <row r="4" spans="1:15" ht="22.5" customHeight="1">
      <c r="A4" s="262" t="str">
        <f>"BẢNG TỔNG HỢP ĐIỆN - NƯỚC SINH HOẠT KÝ TÚC XÁ KHU C " &amp; 'Khu K107-K211'!L1</f>
        <v>BẢNG TỔNG HỢP ĐIỆN - NƯỚC SINH HOẠT KÝ TÚC XÁ KHU C THÁNG 12/2020</v>
      </c>
      <c r="B4" s="262"/>
      <c r="C4" s="262"/>
      <c r="D4" s="262"/>
      <c r="E4" s="262"/>
      <c r="F4" s="262"/>
      <c r="G4" s="262"/>
      <c r="H4" s="262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20.25" customHeight="1">
      <c r="A5" s="266" t="s">
        <v>215</v>
      </c>
      <c r="B5" s="266"/>
      <c r="C5" s="266"/>
      <c r="D5" s="266"/>
      <c r="E5" s="266"/>
      <c r="F5" s="266"/>
      <c r="G5" s="266"/>
      <c r="H5" s="266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62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29</v>
      </c>
      <c r="O6" s="75">
        <f t="shared" ref="O6:O8" si="1">M6/N6</f>
        <v>0.55172413793103448</v>
      </c>
    </row>
    <row r="7" spans="1:15">
      <c r="A7" s="75"/>
      <c r="B7" s="75"/>
      <c r="C7" s="75"/>
      <c r="D7" s="77"/>
      <c r="E7" s="78"/>
      <c r="F7" s="79"/>
      <c r="G7" s="114" t="s">
        <v>183</v>
      </c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20</v>
      </c>
      <c r="O7" s="75">
        <f t="shared" si="1"/>
        <v>2.15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158</v>
      </c>
      <c r="F8" s="49" t="s">
        <v>27</v>
      </c>
      <c r="G8" s="47" t="s">
        <v>28</v>
      </c>
      <c r="H8" s="47" t="s">
        <v>18</v>
      </c>
      <c r="I8" s="81"/>
      <c r="J8" s="75" t="s">
        <v>64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19</v>
      </c>
      <c r="O8" s="75">
        <f t="shared" si="1"/>
        <v>2.6315789473684212</v>
      </c>
    </row>
    <row r="9" spans="1:15" s="165" customFormat="1" ht="23.25" customHeight="1">
      <c r="A9" s="159" t="s">
        <v>201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>
      <c r="A10" s="60" t="s">
        <v>6</v>
      </c>
      <c r="B10" s="60">
        <v>430</v>
      </c>
      <c r="C10" s="60">
        <v>510</v>
      </c>
      <c r="D10" s="259">
        <f>VLOOKUP(RIGHT(LEFT(A9,11),4),'so nguoi'!$C$8:$N$21,2,0)</f>
        <v>6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>
      <c r="A11" s="55" t="s">
        <v>7</v>
      </c>
      <c r="B11" s="55">
        <v>508</v>
      </c>
      <c r="C11" s="55">
        <v>510</v>
      </c>
      <c r="D11" s="259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>
      <c r="A12" s="159" t="s">
        <v>202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>
      <c r="A13" s="55" t="s">
        <v>6</v>
      </c>
      <c r="B13" s="55">
        <v>9582</v>
      </c>
      <c r="C13" s="55">
        <v>9585</v>
      </c>
      <c r="D13" s="259">
        <f>VLOOKUP(RIGHT(LEFT(A12,11),4),'so nguoi'!$C$8:$N$21,2,0)</f>
        <v>6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>
      <c r="A14" s="55" t="s">
        <v>7</v>
      </c>
      <c r="B14" s="55">
        <f>B11</f>
        <v>508</v>
      </c>
      <c r="C14" s="55">
        <f>C11</f>
        <v>510</v>
      </c>
      <c r="D14" s="259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>
      <c r="A15" s="124" t="s">
        <v>203</v>
      </c>
      <c r="B15" s="139"/>
      <c r="C15" s="139"/>
      <c r="D15" s="139"/>
      <c r="E15" s="140"/>
      <c r="F15" s="141"/>
      <c r="G15" s="139"/>
      <c r="H15" s="127">
        <f>SUM(G16:G17)</f>
        <v>313600</v>
      </c>
      <c r="I15" s="142"/>
      <c r="J15" s="120"/>
      <c r="K15" s="120"/>
      <c r="L15" s="120"/>
      <c r="M15" s="120"/>
      <c r="N15" s="120"/>
      <c r="O15" s="120"/>
    </row>
    <row r="16" spans="1:15" s="59" customFormat="1" ht="16.5">
      <c r="A16" s="60" t="s">
        <v>6</v>
      </c>
      <c r="B16" s="60">
        <v>332</v>
      </c>
      <c r="C16" s="60">
        <v>395</v>
      </c>
      <c r="D16" s="259">
        <f>VLOOKUP(RIGHT(LEFT(A15,11),4),'so nguoi'!$C$8:$N$21,2,0)</f>
        <v>3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>
      <c r="A17" s="55" t="s">
        <v>7</v>
      </c>
      <c r="B17" s="55">
        <v>5277</v>
      </c>
      <c r="C17" s="55">
        <v>5312</v>
      </c>
      <c r="D17" s="259"/>
      <c r="E17" s="56">
        <f>C17-B17</f>
        <v>35</v>
      </c>
      <c r="F17" s="151">
        <f>IF(D16=0,0,(E17/(D16+D19)*D16))</f>
        <v>11.666666666666666</v>
      </c>
      <c r="G17" s="157">
        <f>F17*$L$2</f>
        <v>175000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>
      <c r="A18" s="124" t="s">
        <v>204</v>
      </c>
      <c r="B18" s="139"/>
      <c r="C18" s="139"/>
      <c r="D18" s="139"/>
      <c r="E18" s="140"/>
      <c r="F18" s="141"/>
      <c r="G18" s="139"/>
      <c r="H18" s="127">
        <f>SUM(G19:G20)</f>
        <v>532600</v>
      </c>
      <c r="I18" s="142"/>
      <c r="J18" s="120"/>
      <c r="K18" s="120"/>
      <c r="L18" s="120"/>
      <c r="M18" s="120"/>
      <c r="N18" s="120"/>
      <c r="O18" s="120"/>
    </row>
    <row r="19" spans="1:15" ht="16.5">
      <c r="A19" s="7" t="s">
        <v>6</v>
      </c>
      <c r="B19" s="7">
        <v>3182</v>
      </c>
      <c r="C19" s="7">
        <v>3265</v>
      </c>
      <c r="D19" s="273">
        <f>VLOOKUP(RIGHT(LEFT(A18,11),4),'so nguoi'!$C$8:$N$21,2,0)</f>
        <v>6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>
      <c r="A20" s="7" t="s">
        <v>7</v>
      </c>
      <c r="B20" s="7">
        <f>B17</f>
        <v>5277</v>
      </c>
      <c r="C20" s="7">
        <f>C17</f>
        <v>5312</v>
      </c>
      <c r="D20" s="273"/>
      <c r="E20" s="8">
        <f>C20-B20</f>
        <v>35</v>
      </c>
      <c r="F20" s="151">
        <f>IF(D19=0,0,(E20/(D19+D16)*D19))</f>
        <v>23.333333333333332</v>
      </c>
      <c r="G20" s="110">
        <f>F20*$L$2</f>
        <v>350000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>
      <c r="A21" s="124" t="s">
        <v>199</v>
      </c>
      <c r="B21" s="139"/>
      <c r="C21" s="139"/>
      <c r="D21" s="139"/>
      <c r="E21" s="140"/>
      <c r="F21" s="141"/>
      <c r="G21" s="139"/>
      <c r="H21" s="127">
        <f>SUM(G22:G23)</f>
        <v>941300</v>
      </c>
      <c r="I21" s="142"/>
      <c r="J21" s="120"/>
      <c r="K21" s="120"/>
      <c r="L21" s="120"/>
      <c r="M21" s="120"/>
      <c r="N21" s="120"/>
      <c r="O21" s="120"/>
    </row>
    <row r="22" spans="1:15" ht="16.5">
      <c r="A22" s="5" t="s">
        <v>6</v>
      </c>
      <c r="B22" s="5">
        <v>9252</v>
      </c>
      <c r="C22" s="5">
        <v>9356</v>
      </c>
      <c r="D22" s="273">
        <f>VLOOKUP(RIGHT(LEFT(A21,11),4),'so nguoi'!$C$8:$N$21,2,0)</f>
        <v>5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>
      <c r="A23" s="7" t="s">
        <v>7</v>
      </c>
      <c r="B23" s="7">
        <v>4413</v>
      </c>
      <c r="C23" s="7">
        <v>4508</v>
      </c>
      <c r="D23" s="273"/>
      <c r="E23" s="8">
        <f>C23-B23</f>
        <v>95</v>
      </c>
      <c r="F23" s="151">
        <f>IF(D22=0,0,(E23/(D22+D25)*D22))</f>
        <v>47.5</v>
      </c>
      <c r="G23" s="110">
        <f>F23*$L$2</f>
        <v>712500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>
      <c r="A24" s="124" t="s">
        <v>200</v>
      </c>
      <c r="B24" s="139"/>
      <c r="C24" s="139"/>
      <c r="D24" s="139"/>
      <c r="E24" s="140"/>
      <c r="F24" s="141"/>
      <c r="G24" s="139"/>
      <c r="H24" s="127">
        <f>SUM(G25:G26)</f>
        <v>965500</v>
      </c>
      <c r="I24" s="142"/>
      <c r="J24" s="120"/>
      <c r="K24" s="120"/>
      <c r="L24" s="120"/>
      <c r="M24" s="120"/>
      <c r="N24" s="120"/>
      <c r="O24" s="120"/>
    </row>
    <row r="25" spans="1:15" ht="16.5">
      <c r="A25" s="5" t="s">
        <v>6</v>
      </c>
      <c r="B25" s="5">
        <v>1877</v>
      </c>
      <c r="C25" s="5">
        <v>1992</v>
      </c>
      <c r="D25" s="273">
        <f>VLOOKUP(RIGHT(LEFT(A24,11),4),'so nguoi'!$C$8:$N$21,2,0)</f>
        <v>5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>
      <c r="A26" s="7" t="s">
        <v>7</v>
      </c>
      <c r="B26" s="7">
        <f>B23</f>
        <v>4413</v>
      </c>
      <c r="C26" s="7">
        <f>C23</f>
        <v>4508</v>
      </c>
      <c r="D26" s="273"/>
      <c r="E26" s="8">
        <f>C26-B26</f>
        <v>95</v>
      </c>
      <c r="F26" s="151">
        <f>IF(D25=0,0,(E26/(D25+D22)*D25))</f>
        <v>47.5</v>
      </c>
      <c r="G26" s="110">
        <f>F26*$L$2</f>
        <v>712500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>
      <c r="A27" s="124" t="s">
        <v>175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>
      <c r="A28" s="5" t="s">
        <v>6</v>
      </c>
      <c r="B28" s="5">
        <v>124</v>
      </c>
      <c r="C28" s="5">
        <v>124</v>
      </c>
      <c r="D28" s="273">
        <f>VLOOKUP(RIGHT(LEFT(A27,11),4),'so nguoi'!$E$8:$N$21,2,0)</f>
        <v>6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>
      <c r="A29" s="7" t="s">
        <v>7</v>
      </c>
      <c r="B29" s="7">
        <v>51</v>
      </c>
      <c r="C29" s="7">
        <v>51</v>
      </c>
      <c r="D29" s="273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>
      <c r="A30" s="124" t="s">
        <v>176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>
      <c r="A31" s="60" t="s">
        <v>6</v>
      </c>
      <c r="B31" s="60">
        <v>691</v>
      </c>
      <c r="C31" s="60">
        <v>691</v>
      </c>
      <c r="D31" s="259">
        <f>VLOOKUP(RIGHT(LEFT(A30,11),4),'so nguoi'!$E$8:$N$21,2,0)</f>
        <v>3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>
      <c r="A32" s="55" t="s">
        <v>7</v>
      </c>
      <c r="B32" s="55">
        <f>B29</f>
        <v>51</v>
      </c>
      <c r="C32" s="55">
        <f>C29</f>
        <v>51</v>
      </c>
      <c r="D32" s="259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>
      <c r="A33" s="124" t="s">
        <v>177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>
      <c r="A34" s="5" t="s">
        <v>6</v>
      </c>
      <c r="B34" s="5">
        <v>361</v>
      </c>
      <c r="C34" s="5">
        <v>498</v>
      </c>
      <c r="D34" s="273">
        <f>VLOOKUP(RIGHT(LEFT(A33,11),4),'so nguoi'!$E$8:$N$21,2,0)</f>
        <v>6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>
      <c r="A35" s="7" t="s">
        <v>7</v>
      </c>
      <c r="B35" s="7">
        <v>135</v>
      </c>
      <c r="C35" s="7">
        <v>168</v>
      </c>
      <c r="D35" s="273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24" t="s">
        <v>178</v>
      </c>
      <c r="B36" s="139"/>
      <c r="C36" s="139"/>
      <c r="D36" s="139"/>
      <c r="E36" s="140"/>
      <c r="F36" s="141"/>
      <c r="G36" s="139"/>
      <c r="H36" s="127">
        <f>SUM(G37:G38)</f>
        <v>213400</v>
      </c>
      <c r="I36" s="142"/>
      <c r="J36" s="120"/>
      <c r="K36" s="120"/>
      <c r="L36" s="120"/>
      <c r="M36" s="120"/>
      <c r="N36" s="120"/>
      <c r="O36" s="120"/>
    </row>
    <row r="37" spans="1:15" ht="16.5">
      <c r="A37" s="7" t="s">
        <v>6</v>
      </c>
      <c r="B37" s="7">
        <v>257</v>
      </c>
      <c r="C37" s="7">
        <v>354</v>
      </c>
      <c r="D37" s="273">
        <f>VLOOKUP(RIGHT(LEFT(A36,11),4),'so nguoi'!$E$8:$N$21,2,0)</f>
        <v>0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>
      <c r="A38" s="7" t="s">
        <v>7</v>
      </c>
      <c r="B38" s="7">
        <v>310</v>
      </c>
      <c r="C38" s="7">
        <v>351</v>
      </c>
      <c r="D38" s="273"/>
      <c r="E38" s="8">
        <f>C38-B38</f>
        <v>41</v>
      </c>
      <c r="F38" s="151">
        <f>IF(D37=0,0,(E38/(D37+D40)*D37))</f>
        <v>0</v>
      </c>
      <c r="G38" s="112">
        <f>F38*$L$2</f>
        <v>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24" t="s">
        <v>179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>
      <c r="A40" s="5" t="s">
        <v>6</v>
      </c>
      <c r="B40" s="5">
        <v>381</v>
      </c>
      <c r="C40" s="5">
        <v>458</v>
      </c>
      <c r="D40" s="273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>
      <c r="A41" s="7" t="s">
        <v>7</v>
      </c>
      <c r="B41" s="7">
        <f>B38</f>
        <v>310</v>
      </c>
      <c r="C41" s="7">
        <f>C38</f>
        <v>351</v>
      </c>
      <c r="D41" s="273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24" t="s">
        <v>180</v>
      </c>
      <c r="B42" s="139"/>
      <c r="C42" s="139"/>
      <c r="D42" s="139"/>
      <c r="E42" s="140"/>
      <c r="F42" s="141"/>
      <c r="G42" s="139"/>
      <c r="H42" s="127">
        <f>SUM(G43:G44)</f>
        <v>812800</v>
      </c>
      <c r="I42" s="142"/>
      <c r="J42" s="120"/>
      <c r="K42" s="120"/>
      <c r="L42" s="120"/>
      <c r="M42" s="120"/>
      <c r="N42" s="120"/>
      <c r="O42" s="120"/>
    </row>
    <row r="43" spans="1:15" ht="16.5">
      <c r="A43" s="5" t="s">
        <v>6</v>
      </c>
      <c r="B43" s="5">
        <v>727</v>
      </c>
      <c r="C43" s="5">
        <v>851</v>
      </c>
      <c r="D43" s="273">
        <f>VLOOKUP(RIGHT(LEFT(A42,11),4),'so nguoi'!$E$8:$N$21,2,0)</f>
        <v>5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>
      <c r="A44" s="7" t="s">
        <v>7</v>
      </c>
      <c r="B44" s="7">
        <v>398</v>
      </c>
      <c r="C44" s="7">
        <v>470</v>
      </c>
      <c r="D44" s="273"/>
      <c r="E44" s="8">
        <f>C44-B44</f>
        <v>72</v>
      </c>
      <c r="F44" s="151">
        <f>IF(D43=0,0,(E44/(D43+D46)*D43))</f>
        <v>36</v>
      </c>
      <c r="G44" s="110">
        <f>F44*$L$2</f>
        <v>540000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24" t="s">
        <v>181</v>
      </c>
      <c r="B45" s="139"/>
      <c r="C45" s="139"/>
      <c r="D45" s="139"/>
      <c r="E45" s="140"/>
      <c r="F45" s="141"/>
      <c r="G45" s="139"/>
      <c r="H45" s="127">
        <f>SUM(G46:G47)</f>
        <v>753400</v>
      </c>
      <c r="I45" s="142"/>
      <c r="J45" s="120"/>
      <c r="K45" s="120"/>
      <c r="L45" s="120"/>
      <c r="M45" s="120"/>
      <c r="N45" s="120"/>
      <c r="O45" s="120"/>
    </row>
    <row r="46" spans="1:15" ht="16.5">
      <c r="A46" s="5" t="s">
        <v>6</v>
      </c>
      <c r="B46" s="5">
        <v>564</v>
      </c>
      <c r="C46" s="5">
        <v>661</v>
      </c>
      <c r="D46" s="273">
        <f>VLOOKUP(RIGHT(LEFT(A45,11),4),'so nguoi'!$E$8:$N$21,2,0)</f>
        <v>5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>
      <c r="A47" s="7" t="s">
        <v>7</v>
      </c>
      <c r="B47" s="7">
        <f>B44</f>
        <v>398</v>
      </c>
      <c r="C47" s="7">
        <f>C44</f>
        <v>470</v>
      </c>
      <c r="D47" s="273"/>
      <c r="E47" s="8">
        <f>C47-B47</f>
        <v>72</v>
      </c>
      <c r="F47" s="151">
        <f>IF(D46=0,0,(E47/(D46+D43)*D46))</f>
        <v>36</v>
      </c>
      <c r="G47" s="110">
        <f>F47*$L$2</f>
        <v>540000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24" t="s">
        <v>182</v>
      </c>
      <c r="B48" s="139"/>
      <c r="C48" s="139"/>
      <c r="D48" s="139"/>
      <c r="E48" s="140"/>
      <c r="F48" s="141"/>
      <c r="G48" s="139"/>
      <c r="H48" s="127">
        <f>SUM(G49:G50)</f>
        <v>561000</v>
      </c>
      <c r="I48" s="142"/>
      <c r="J48" s="120"/>
      <c r="K48" s="120"/>
      <c r="L48" s="120"/>
      <c r="M48" s="120"/>
      <c r="N48" s="120"/>
      <c r="O48" s="120"/>
    </row>
    <row r="49" spans="1:15" ht="16.5">
      <c r="A49" s="5" t="s">
        <v>6</v>
      </c>
      <c r="B49" s="5">
        <v>841</v>
      </c>
      <c r="C49" s="5">
        <v>1021</v>
      </c>
      <c r="D49" s="273">
        <f>VLOOKUP(RIGHT(LEFT(A48,11),4),'so nguoi'!$E$8:$N$21,2,0)</f>
        <v>6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>
      <c r="A50" s="167" t="s">
        <v>7</v>
      </c>
      <c r="B50" s="167">
        <v>198</v>
      </c>
      <c r="C50" s="167">
        <v>220</v>
      </c>
      <c r="D50" s="273"/>
      <c r="E50" s="168">
        <f>C50-B50</f>
        <v>22</v>
      </c>
      <c r="F50" s="151">
        <f>IF(D49=0,0,(E50/(D49+D52)*D49))</f>
        <v>11</v>
      </c>
      <c r="G50" s="169">
        <f>F50*$L$2</f>
        <v>165000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>
      <c r="A51" s="124" t="s">
        <v>214</v>
      </c>
      <c r="B51" s="139"/>
      <c r="C51" s="139"/>
      <c r="D51" s="139"/>
      <c r="E51" s="140"/>
      <c r="F51" s="141"/>
      <c r="G51" s="139"/>
      <c r="H51" s="127">
        <f>SUM(G52:G53)</f>
        <v>165000</v>
      </c>
      <c r="I51" s="142"/>
      <c r="J51" s="120"/>
      <c r="K51" s="120"/>
      <c r="L51" s="120"/>
      <c r="M51" s="120"/>
      <c r="N51" s="120"/>
      <c r="O51" s="120"/>
    </row>
    <row r="52" spans="1:15" ht="16.5">
      <c r="A52" s="5" t="s">
        <v>6</v>
      </c>
      <c r="B52" s="5">
        <v>202</v>
      </c>
      <c r="C52" s="5">
        <v>202</v>
      </c>
      <c r="D52" s="273">
        <f>VLOOKUP(RIGHT(LEFT(A51,11),4),'so nguoi'!$E$8:$N$21,2,0)</f>
        <v>6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>
      <c r="A53" s="167" t="s">
        <v>7</v>
      </c>
      <c r="B53" s="167">
        <f>B50</f>
        <v>198</v>
      </c>
      <c r="C53" s="167">
        <f>C50</f>
        <v>220</v>
      </c>
      <c r="D53" s="273"/>
      <c r="E53" s="168">
        <f>C53-B53</f>
        <v>22</v>
      </c>
      <c r="F53" s="151">
        <f>IF(D52=0,0,(E53/(D52+D49)*D52))</f>
        <v>11</v>
      </c>
      <c r="G53" s="169">
        <f>F53*$L$2</f>
        <v>165000</v>
      </c>
      <c r="H53" s="153"/>
      <c r="I53" s="154">
        <f>SUM(H9:H53)</f>
        <v>6437000</v>
      </c>
      <c r="J53" s="156"/>
      <c r="K53" s="156"/>
      <c r="L53" s="156"/>
      <c r="M53" s="156"/>
      <c r="N53" s="156"/>
      <c r="O53" s="156"/>
    </row>
    <row r="54" spans="1:15" s="2" customFormat="1" ht="23.25" customHeight="1">
      <c r="A54" s="124" t="s">
        <v>218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>
      <c r="A55" s="5" t="s">
        <v>6</v>
      </c>
      <c r="B55" s="5">
        <v>202</v>
      </c>
      <c r="C55" s="5">
        <v>202</v>
      </c>
      <c r="D55" s="273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>
      <c r="A56" s="167" t="s">
        <v>7</v>
      </c>
      <c r="B56" s="167">
        <f>B53</f>
        <v>198</v>
      </c>
      <c r="C56" s="167">
        <f>C53</f>
        <v>220</v>
      </c>
      <c r="D56" s="273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>
      <c r="A57" s="267" t="s">
        <v>13</v>
      </c>
      <c r="B57" s="268"/>
      <c r="C57" s="268"/>
      <c r="D57" s="268"/>
      <c r="E57" s="268"/>
      <c r="F57" s="269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>
      <c r="A58" s="267" t="s">
        <v>14</v>
      </c>
      <c r="B58" s="268"/>
      <c r="C58" s="268"/>
      <c r="D58" s="268"/>
      <c r="E58" s="268"/>
      <c r="F58" s="269"/>
      <c r="G58" s="73">
        <f ca="1">SUMIF($A$8:$F$53,"Nước",G8:G53)</f>
        <v>3885000</v>
      </c>
      <c r="H58" s="73">
        <f ca="1">SUMIF($A$9:$E$53,A50,$F$9:$F$53)</f>
        <v>259</v>
      </c>
      <c r="I58" s="121">
        <f ca="1">H58*15000</f>
        <v>3885000</v>
      </c>
      <c r="J58" s="75"/>
      <c r="K58" s="75"/>
      <c r="L58" s="75"/>
      <c r="M58" s="75"/>
      <c r="N58" s="75"/>
      <c r="O58" s="75"/>
    </row>
    <row r="59" spans="1:15" ht="17.25" customHeight="1">
      <c r="A59" s="267" t="s">
        <v>15</v>
      </c>
      <c r="B59" s="268"/>
      <c r="C59" s="268"/>
      <c r="D59" s="268"/>
      <c r="E59" s="268"/>
      <c r="F59" s="269"/>
      <c r="G59" s="73">
        <f ca="1">SUM(G57:G58)</f>
        <v>6437000</v>
      </c>
      <c r="H59" s="74"/>
      <c r="I59" s="121">
        <f ca="1">I57+I58</f>
        <v>6437000</v>
      </c>
      <c r="J59" s="121">
        <f ca="1">I59-G59</f>
        <v>0</v>
      </c>
      <c r="K59" s="75"/>
      <c r="L59" s="75"/>
      <c r="M59" s="75"/>
      <c r="N59" s="75"/>
      <c r="O59" s="75"/>
    </row>
    <row r="60" spans="1:15">
      <c r="A60" s="75"/>
      <c r="B60" s="75"/>
      <c r="C60" s="75"/>
      <c r="D60" s="77"/>
      <c r="E60" s="78"/>
      <c r="F60" s="270" t="str">
        <f ca="1">" TP. Hồ Chí Minh, ngày "&amp;DAY(NOW())&amp;" tháng "&amp;MONTH(NOW())&amp;" năm "&amp;YEAR(NOW())</f>
        <v xml:space="preserve"> TP. Hồ Chí Minh, ngày 7 tháng 1 năm 2021</v>
      </c>
      <c r="G60" s="270"/>
      <c r="H60" s="270"/>
      <c r="I60" s="81"/>
      <c r="J60" s="121"/>
      <c r="K60" s="121"/>
      <c r="L60" s="75"/>
      <c r="M60" s="75"/>
      <c r="N60" s="75"/>
      <c r="O60" s="75"/>
    </row>
    <row r="61" spans="1:15">
      <c r="A61" s="271" t="s">
        <v>17</v>
      </c>
      <c r="B61" s="271"/>
      <c r="C61" s="271"/>
      <c r="D61" s="77"/>
      <c r="E61" s="78"/>
      <c r="F61" s="272" t="s">
        <v>16</v>
      </c>
      <c r="G61" s="272"/>
      <c r="H61" s="272"/>
      <c r="I61" s="81"/>
      <c r="J61" s="121"/>
      <c r="K61" s="75"/>
      <c r="L61" s="75"/>
      <c r="M61" s="75"/>
      <c r="N61" s="75"/>
      <c r="O61" s="75"/>
    </row>
    <row r="62" spans="1:15">
      <c r="A62" s="75"/>
      <c r="B62" s="75"/>
      <c r="C62" s="75"/>
      <c r="D62" s="77"/>
      <c r="E62" s="78"/>
      <c r="F62" s="79"/>
      <c r="G62" s="80"/>
      <c r="H62" s="81"/>
    </row>
    <row r="63" spans="1:15">
      <c r="A63" s="75"/>
      <c r="B63" s="75"/>
      <c r="C63" s="75"/>
      <c r="D63" s="77"/>
      <c r="E63" s="78"/>
      <c r="F63" s="79"/>
      <c r="G63" s="78"/>
      <c r="H63" s="75"/>
    </row>
    <row r="64" spans="1:15">
      <c r="A64" s="75"/>
      <c r="B64" s="75"/>
      <c r="C64" s="75"/>
      <c r="D64" s="77"/>
      <c r="E64" s="78"/>
      <c r="F64" s="79"/>
      <c r="G64" s="82"/>
      <c r="H64" s="75"/>
    </row>
    <row r="65" spans="1:9">
      <c r="A65" s="263" t="s">
        <v>149</v>
      </c>
      <c r="B65" s="263"/>
      <c r="C65" s="263"/>
      <c r="D65" s="77"/>
      <c r="E65" s="78"/>
      <c r="F65" s="264" t="s">
        <v>205</v>
      </c>
      <c r="G65" s="264"/>
      <c r="H65" s="264"/>
    </row>
    <row r="66" spans="1:9" ht="24.4" customHeight="1">
      <c r="A66" s="1"/>
      <c r="I66"/>
    </row>
    <row r="67" spans="1:9" ht="28.15" customHeight="1">
      <c r="A67" s="265"/>
      <c r="B67" s="265"/>
      <c r="D67"/>
      <c r="E67"/>
      <c r="F67"/>
      <c r="G67"/>
      <c r="I67"/>
    </row>
    <row r="68" spans="1:9" ht="24.4" customHeight="1">
      <c r="D68"/>
      <c r="E68"/>
      <c r="F68"/>
      <c r="G68"/>
      <c r="I68"/>
    </row>
    <row r="69" spans="1:9" ht="30" customHeight="1">
      <c r="I69"/>
    </row>
    <row r="70" spans="1:9" ht="28.15" customHeight="1">
      <c r="I70"/>
    </row>
    <row r="71" spans="1:9" ht="24.4" customHeight="1">
      <c r="I71"/>
    </row>
    <row r="72" spans="1:9" ht="27.75" customHeight="1">
      <c r="I72"/>
    </row>
    <row r="73" spans="1:9" ht="28.15" customHeight="1">
      <c r="I73"/>
    </row>
    <row r="74" spans="1:9" s="2" customFormat="1" ht="24.4" customHeight="1">
      <c r="A74"/>
      <c r="B74"/>
      <c r="C74"/>
      <c r="D74" s="4"/>
      <c r="E74" s="3"/>
      <c r="F74" s="21"/>
      <c r="G74" s="3"/>
      <c r="H74"/>
    </row>
    <row r="75" spans="1:9" ht="30" customHeight="1">
      <c r="I75"/>
    </row>
    <row r="76" spans="1:9" ht="28.15" customHeight="1">
      <c r="I76"/>
    </row>
    <row r="77" spans="1:9" s="2" customFormat="1" ht="24.4" customHeight="1">
      <c r="A77"/>
      <c r="B77"/>
      <c r="C77"/>
      <c r="D77" s="4"/>
      <c r="E77" s="3"/>
      <c r="F77" s="21"/>
      <c r="G77" s="3"/>
      <c r="H77"/>
    </row>
    <row r="78" spans="1:9" ht="30.2" customHeight="1">
      <c r="I78"/>
    </row>
    <row r="79" spans="1:9" ht="28.15" customHeight="1">
      <c r="I79"/>
    </row>
    <row r="80" spans="1:9" s="2" customFormat="1" ht="24.4" customHeight="1">
      <c r="A80"/>
      <c r="B80"/>
      <c r="C80"/>
      <c r="D80" s="4"/>
      <c r="E80" s="3"/>
      <c r="F80" s="21"/>
      <c r="G80" s="3"/>
      <c r="H80"/>
    </row>
    <row r="81" spans="1:9" ht="30" customHeight="1">
      <c r="I81"/>
    </row>
    <row r="82" spans="1:9" ht="28.15" customHeight="1">
      <c r="I82"/>
    </row>
    <row r="83" spans="1:9" s="2" customFormat="1" ht="24.4" customHeight="1">
      <c r="A83"/>
      <c r="B83"/>
      <c r="C83"/>
      <c r="D83" s="4"/>
      <c r="E83" s="3"/>
      <c r="F83" s="21"/>
      <c r="G83" s="3"/>
      <c r="H83"/>
    </row>
    <row r="84" spans="1:9" ht="30" customHeight="1">
      <c r="I84"/>
    </row>
    <row r="85" spans="1:9" ht="28.15" customHeight="1">
      <c r="I85"/>
    </row>
    <row r="86" spans="1:9" s="2" customFormat="1" ht="24.4" customHeight="1">
      <c r="A86"/>
      <c r="B86"/>
      <c r="C86"/>
      <c r="D86" s="4"/>
      <c r="E86" s="3"/>
      <c r="F86" s="21"/>
      <c r="G86" s="3"/>
      <c r="H86"/>
    </row>
    <row r="87" spans="1:9" ht="30" customHeight="1">
      <c r="I87"/>
    </row>
    <row r="88" spans="1:9" ht="28.15" customHeight="1">
      <c r="I88"/>
    </row>
    <row r="89" spans="1:9" s="2" customFormat="1" ht="24.4" customHeight="1">
      <c r="A89"/>
      <c r="B89"/>
      <c r="C89"/>
      <c r="D89" s="4"/>
      <c r="E89" s="3"/>
      <c r="F89" s="21"/>
      <c r="G89" s="3"/>
      <c r="H89"/>
    </row>
    <row r="90" spans="1:9" ht="30" customHeight="1">
      <c r="I90"/>
    </row>
    <row r="91" spans="1:9" ht="28.15" customHeight="1">
      <c r="I91"/>
    </row>
    <row r="92" spans="1:9" s="2" customFormat="1" ht="24.4" customHeight="1">
      <c r="A92"/>
      <c r="B92"/>
      <c r="C92"/>
      <c r="D92" s="4"/>
      <c r="E92" s="3"/>
      <c r="F92" s="21"/>
      <c r="G92" s="3"/>
      <c r="H92"/>
    </row>
    <row r="93" spans="1:9" ht="30" customHeight="1">
      <c r="I93"/>
    </row>
    <row r="94" spans="1:9" ht="28.15" customHeight="1">
      <c r="I94"/>
    </row>
    <row r="95" spans="1:9" s="2" customFormat="1" ht="24.4" customHeight="1">
      <c r="A95"/>
      <c r="B95"/>
      <c r="C95"/>
      <c r="D95" s="4"/>
      <c r="E95" s="3"/>
      <c r="F95" s="21"/>
      <c r="G95" s="3"/>
      <c r="H95"/>
    </row>
    <row r="96" spans="1:9" ht="27.75" customHeight="1">
      <c r="I96"/>
    </row>
    <row r="97" spans="1:9" ht="28.15" customHeight="1">
      <c r="I97"/>
    </row>
    <row r="98" spans="1:9" s="2" customFormat="1" ht="24.4" customHeight="1">
      <c r="A98"/>
      <c r="B98"/>
      <c r="C98"/>
      <c r="D98" s="4"/>
      <c r="E98" s="3"/>
      <c r="F98" s="21"/>
      <c r="G98" s="3"/>
      <c r="H98"/>
    </row>
    <row r="99" spans="1:9" ht="30" customHeight="1">
      <c r="I99"/>
    </row>
    <row r="100" spans="1:9" ht="28.15" customHeight="1">
      <c r="I100"/>
    </row>
    <row r="101" spans="1:9" s="2" customFormat="1" ht="24.4" customHeight="1">
      <c r="A101"/>
      <c r="B101"/>
      <c r="C101"/>
      <c r="D101" s="4"/>
      <c r="E101" s="3"/>
      <c r="F101" s="21"/>
      <c r="G101" s="3"/>
      <c r="H101"/>
    </row>
    <row r="102" spans="1:9" ht="30.2" customHeight="1">
      <c r="I102"/>
    </row>
    <row r="103" spans="1:9" ht="28.15" customHeight="1">
      <c r="I103"/>
    </row>
    <row r="104" spans="1:9" s="2" customFormat="1" ht="24.4" customHeight="1">
      <c r="A104"/>
      <c r="B104"/>
      <c r="C104"/>
      <c r="D104" s="4"/>
      <c r="E104" s="3"/>
      <c r="F104" s="21"/>
      <c r="G104" s="3"/>
      <c r="H104"/>
    </row>
    <row r="105" spans="1:9" ht="30" customHeight="1">
      <c r="I105"/>
    </row>
    <row r="106" spans="1:9" ht="28.15" customHeight="1">
      <c r="I106"/>
    </row>
    <row r="107" spans="1:9" s="2" customFormat="1" ht="24.4" customHeight="1">
      <c r="A107"/>
      <c r="B107"/>
      <c r="C107"/>
      <c r="D107" s="4"/>
      <c r="E107" s="3"/>
      <c r="F107" s="21"/>
      <c r="G107" s="3"/>
      <c r="H107"/>
    </row>
    <row r="108" spans="1:9" ht="30" customHeight="1">
      <c r="I108"/>
    </row>
    <row r="109" spans="1:9" ht="28.15" customHeight="1">
      <c r="I109"/>
    </row>
    <row r="110" spans="1:9" s="2" customFormat="1" ht="24.4" customHeight="1">
      <c r="A110"/>
      <c r="B110"/>
      <c r="C110"/>
      <c r="D110" s="4"/>
      <c r="E110" s="3"/>
      <c r="F110" s="21"/>
      <c r="G110" s="3"/>
      <c r="H110"/>
    </row>
    <row r="111" spans="1:9" ht="30" customHeight="1">
      <c r="I111"/>
    </row>
    <row r="112" spans="1:9" ht="28.15" customHeight="1">
      <c r="I112"/>
    </row>
    <row r="113" spans="1:9" s="2" customFormat="1" ht="24.4" customHeight="1">
      <c r="A113"/>
      <c r="B113"/>
      <c r="C113"/>
      <c r="D113" s="4"/>
      <c r="E113" s="3"/>
      <c r="F113" s="21"/>
      <c r="G113" s="3"/>
      <c r="H113"/>
    </row>
    <row r="114" spans="1:9" ht="30" customHeight="1">
      <c r="I114"/>
    </row>
    <row r="115" spans="1:9" ht="28.15" customHeight="1">
      <c r="I115"/>
    </row>
    <row r="116" spans="1:9" s="2" customFormat="1" ht="24.4" customHeight="1">
      <c r="A116"/>
      <c r="B116"/>
      <c r="C116"/>
      <c r="D116" s="4"/>
      <c r="E116" s="3"/>
      <c r="F116" s="21"/>
      <c r="G116" s="3"/>
      <c r="H116"/>
    </row>
    <row r="117" spans="1:9" ht="30" customHeight="1">
      <c r="I117"/>
    </row>
    <row r="118" spans="1:9" ht="28.15" customHeight="1">
      <c r="I118"/>
    </row>
    <row r="119" spans="1:9" s="2" customFormat="1" ht="24.4" customHeight="1">
      <c r="A119"/>
      <c r="B119"/>
      <c r="C119"/>
      <c r="D119" s="4"/>
      <c r="E119" s="3"/>
      <c r="F119" s="21"/>
      <c r="G119" s="3"/>
      <c r="H119"/>
    </row>
    <row r="120" spans="1:9" ht="27.75" customHeight="1">
      <c r="I120"/>
    </row>
    <row r="121" spans="1:9" ht="28.15" customHeight="1">
      <c r="I121"/>
    </row>
    <row r="122" spans="1:9" s="2" customFormat="1" ht="24.4" customHeight="1">
      <c r="A122"/>
      <c r="B122"/>
      <c r="C122"/>
      <c r="D122" s="4"/>
      <c r="E122" s="3"/>
      <c r="F122" s="21"/>
      <c r="G122" s="3"/>
      <c r="H122"/>
    </row>
    <row r="123" spans="1:9" ht="30" customHeight="1">
      <c r="I123"/>
    </row>
    <row r="124" spans="1:9" ht="28.15" customHeight="1">
      <c r="I124"/>
    </row>
    <row r="125" spans="1:9" s="2" customFormat="1" ht="24.4" customHeight="1">
      <c r="A125"/>
      <c r="B125"/>
      <c r="C125"/>
      <c r="D125" s="4"/>
      <c r="E125" s="3"/>
      <c r="F125" s="21"/>
      <c r="G125" s="3"/>
      <c r="H125"/>
    </row>
    <row r="126" spans="1:9" ht="30.2" customHeight="1">
      <c r="I126"/>
    </row>
    <row r="127" spans="1:9" ht="28.15" customHeight="1">
      <c r="I127"/>
    </row>
    <row r="128" spans="1:9" s="2" customFormat="1" ht="24.4" customHeight="1">
      <c r="A128"/>
      <c r="B128"/>
      <c r="C128"/>
      <c r="D128" s="4"/>
      <c r="E128" s="3"/>
      <c r="F128" s="21"/>
      <c r="G128" s="3"/>
      <c r="H128"/>
    </row>
    <row r="129" spans="1:9" ht="30" customHeight="1">
      <c r="I129"/>
    </row>
    <row r="130" spans="1:9" ht="28.15" customHeight="1">
      <c r="I130"/>
    </row>
    <row r="131" spans="1:9" s="2" customFormat="1" ht="24.4" customHeight="1">
      <c r="A131"/>
      <c r="B131"/>
      <c r="C131"/>
      <c r="D131" s="4"/>
      <c r="E131" s="3"/>
      <c r="F131" s="21"/>
      <c r="G131" s="3"/>
      <c r="H131"/>
    </row>
    <row r="132" spans="1:9" ht="30" customHeight="1">
      <c r="I132"/>
    </row>
    <row r="133" spans="1:9" ht="28.15" customHeight="1">
      <c r="I133"/>
    </row>
    <row r="134" spans="1:9" s="2" customFormat="1" ht="24.4" customHeight="1">
      <c r="A134"/>
      <c r="B134"/>
      <c r="C134"/>
      <c r="D134" s="4"/>
      <c r="E134" s="3"/>
      <c r="F134" s="21"/>
      <c r="G134" s="3"/>
      <c r="H134"/>
    </row>
    <row r="135" spans="1:9" ht="30" customHeight="1">
      <c r="I135"/>
    </row>
    <row r="136" spans="1:9" ht="28.15" customHeight="1">
      <c r="I136"/>
    </row>
    <row r="137" spans="1:9" s="2" customFormat="1" ht="24.4" customHeight="1">
      <c r="A137"/>
      <c r="B137"/>
      <c r="C137"/>
      <c r="D137" s="4"/>
      <c r="E137" s="3"/>
      <c r="F137" s="21"/>
      <c r="G137" s="3"/>
      <c r="H137"/>
    </row>
    <row r="138" spans="1:9" ht="30" customHeight="1">
      <c r="I138"/>
    </row>
    <row r="139" spans="1:9" ht="28.15" customHeight="1">
      <c r="I139"/>
    </row>
    <row r="140" spans="1:9" ht="24.4" customHeight="1">
      <c r="I140"/>
    </row>
    <row r="141" spans="1:9" ht="30" customHeight="1">
      <c r="I141"/>
    </row>
    <row r="142" spans="1:9" ht="28.15" customHeight="1">
      <c r="I142"/>
    </row>
    <row r="143" spans="1:9" s="2" customFormat="1" ht="24.4" customHeight="1">
      <c r="A143"/>
      <c r="B143"/>
      <c r="C143"/>
      <c r="D143" s="4"/>
      <c r="E143" s="3"/>
      <c r="F143" s="21"/>
      <c r="G143" s="3"/>
      <c r="H143"/>
    </row>
    <row r="144" spans="1:9" ht="27.75" customHeight="1">
      <c r="I144"/>
    </row>
    <row r="145" spans="1:9" ht="28.15" customHeight="1">
      <c r="I145"/>
    </row>
    <row r="146" spans="1:9" s="2" customFormat="1" ht="24.4" customHeight="1">
      <c r="A146"/>
      <c r="B146"/>
      <c r="C146"/>
      <c r="D146" s="4"/>
      <c r="E146" s="3"/>
      <c r="F146" s="21"/>
      <c r="G146" s="3"/>
      <c r="H146"/>
    </row>
    <row r="147" spans="1:9" ht="30" customHeight="1">
      <c r="I147"/>
    </row>
    <row r="148" spans="1:9" ht="28.15" customHeight="1">
      <c r="I148"/>
    </row>
    <row r="149" spans="1:9" s="2" customFormat="1" ht="24.4" customHeight="1">
      <c r="A149"/>
      <c r="B149"/>
      <c r="C149"/>
      <c r="D149" s="4"/>
      <c r="E149" s="3"/>
      <c r="F149" s="21"/>
      <c r="G149" s="3"/>
      <c r="H149"/>
    </row>
    <row r="150" spans="1:9" ht="30" customHeight="1">
      <c r="I150"/>
    </row>
    <row r="151" spans="1:9" ht="28.15" customHeight="1">
      <c r="I151"/>
    </row>
    <row r="152" spans="1:9" s="2" customFormat="1" ht="24.4" customHeight="1">
      <c r="A152"/>
      <c r="B152"/>
      <c r="C152"/>
      <c r="D152" s="4"/>
      <c r="E152" s="3"/>
      <c r="F152" s="21"/>
      <c r="G152" s="3"/>
      <c r="H152"/>
    </row>
    <row r="153" spans="1:9" ht="30.6" customHeight="1">
      <c r="I153"/>
    </row>
    <row r="154" spans="1:9" s="2" customFormat="1" ht="24.4" customHeight="1">
      <c r="A154"/>
      <c r="B154"/>
      <c r="C154"/>
      <c r="D154" s="4"/>
      <c r="E154" s="3"/>
      <c r="F154" s="21"/>
      <c r="G154" s="3"/>
      <c r="H154"/>
    </row>
    <row r="155" spans="1:9" ht="30.4" customHeight="1">
      <c r="I155"/>
    </row>
    <row r="156" spans="1:9" s="2" customFormat="1" ht="24.4" customHeight="1">
      <c r="A156"/>
      <c r="B156"/>
      <c r="C156"/>
      <c r="D156" s="4"/>
      <c r="E156" s="3"/>
      <c r="F156" s="21"/>
      <c r="G156" s="3"/>
      <c r="H156"/>
    </row>
    <row r="157" spans="1:9" ht="30.4" customHeight="1">
      <c r="I157"/>
    </row>
    <row r="158" spans="1:9" s="2" customFormat="1" ht="24.4" customHeight="1">
      <c r="A158"/>
      <c r="B158"/>
      <c r="C158"/>
      <c r="D158" s="4"/>
      <c r="E158" s="3"/>
      <c r="F158" s="21"/>
      <c r="G158" s="3"/>
      <c r="H158"/>
    </row>
    <row r="159" spans="1:9" ht="30.4" customHeight="1">
      <c r="I159"/>
    </row>
    <row r="160" spans="1:9" s="2" customFormat="1" ht="24.4" customHeight="1">
      <c r="A160"/>
      <c r="B160"/>
      <c r="C160"/>
      <c r="D160" s="4"/>
      <c r="E160" s="3"/>
      <c r="F160" s="21"/>
      <c r="G160" s="3"/>
      <c r="H160"/>
    </row>
    <row r="161" spans="9:11" ht="30.4" customHeight="1">
      <c r="I161"/>
    </row>
    <row r="164" spans="9:11">
      <c r="J164" s="25"/>
    </row>
    <row r="166" spans="9:11">
      <c r="J166" s="25"/>
      <c r="K166" s="25"/>
    </row>
    <row r="167" spans="9:11">
      <c r="J167" s="25"/>
    </row>
  </sheetData>
  <mergeCells count="29"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</mergeCells>
  <phoneticPr fontId="0" type="noConversion"/>
  <pageMargins left="0.25" right="0.2" top="0.42" bottom="0.41" header="0.18" footer="0.19"/>
  <pageSetup paperSize="9" scale="9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BreakPreview" zoomScaleNormal="100" zoomScaleSheetLayoutView="100" workbookViewId="0">
      <selection activeCell="I1" sqref="I1:X1048576"/>
    </sheetView>
  </sheetViews>
  <sheetFormatPr defaultRowHeight="15"/>
  <cols>
    <col min="1" max="1" width="15.140625" customWidth="1"/>
    <col min="2" max="2" width="8.28515625" style="184" customWidth="1"/>
    <col min="3" max="3" width="8.7109375" style="184" customWidth="1"/>
    <col min="4" max="4" width="7.140625" style="4" hidden="1" customWidth="1"/>
    <col min="5" max="5" width="7.5703125" style="3" customWidth="1"/>
    <col min="6" max="6" width="12.85546875" style="21" customWidth="1"/>
    <col min="7" max="7" width="23" style="3" customWidth="1"/>
    <col min="8" max="8" width="18.5703125" customWidth="1"/>
    <col min="9" max="9" width="13.28515625" style="50" hidden="1" customWidth="1"/>
    <col min="10" max="10" width="19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8.140625" hidden="1" customWidth="1"/>
    <col min="16" max="24" width="0" hidden="1" customWidth="1"/>
  </cols>
  <sheetData>
    <row r="1" spans="1:15" ht="15.75">
      <c r="A1" s="122" t="s">
        <v>190</v>
      </c>
      <c r="B1" s="122"/>
      <c r="C1" s="122"/>
      <c r="D1" s="122"/>
      <c r="E1" s="122"/>
      <c r="F1" s="122"/>
      <c r="G1" s="122"/>
      <c r="H1" s="122"/>
      <c r="K1" t="s">
        <v>148</v>
      </c>
      <c r="L1" s="30" t="s">
        <v>309</v>
      </c>
    </row>
    <row r="2" spans="1:15" ht="15.75">
      <c r="A2" s="277" t="s">
        <v>191</v>
      </c>
      <c r="B2" s="277"/>
      <c r="C2" s="277"/>
      <c r="D2" s="277"/>
      <c r="E2" s="277"/>
      <c r="F2" s="277"/>
      <c r="G2" s="277"/>
      <c r="H2" s="277"/>
      <c r="K2" t="s">
        <v>9</v>
      </c>
      <c r="L2">
        <v>2900</v>
      </c>
    </row>
    <row r="3" spans="1:15">
      <c r="A3" s="75"/>
      <c r="B3" s="190"/>
      <c r="C3" s="190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62" t="s">
        <v>312</v>
      </c>
      <c r="B4" s="262"/>
      <c r="C4" s="262"/>
      <c r="D4" s="262"/>
      <c r="E4" s="262"/>
      <c r="F4" s="262"/>
      <c r="G4" s="262"/>
      <c r="H4" s="262"/>
      <c r="J4" t="s">
        <v>61</v>
      </c>
      <c r="K4" t="s">
        <v>147</v>
      </c>
      <c r="L4" t="s">
        <v>59</v>
      </c>
      <c r="M4" t="s">
        <v>60</v>
      </c>
      <c r="N4" t="s">
        <v>145</v>
      </c>
      <c r="O4" t="s">
        <v>146</v>
      </c>
    </row>
    <row r="5" spans="1:15" ht="33">
      <c r="A5" s="266"/>
      <c r="B5" s="266"/>
      <c r="C5" s="266"/>
      <c r="D5" s="266"/>
      <c r="E5" s="266"/>
      <c r="F5" s="266"/>
      <c r="G5" s="266"/>
      <c r="H5" s="266"/>
      <c r="J5" s="63" t="s">
        <v>304</v>
      </c>
      <c r="K5" s="184">
        <v>856</v>
      </c>
      <c r="L5" s="184">
        <v>876</v>
      </c>
      <c r="M5">
        <f>L5-K5</f>
        <v>20</v>
      </c>
      <c r="N5" s="72">
        <f>'so nguoi'!H8+'so nguoi'!H9+'so nguoi'!H10+'so nguoi'!H16+'so nguoi'!H17+'so nguoi'!H18</f>
        <v>40</v>
      </c>
      <c r="O5">
        <f>M5/N5</f>
        <v>0.5</v>
      </c>
    </row>
    <row r="6" spans="1:15" ht="18" customHeight="1">
      <c r="A6" s="75"/>
      <c r="B6" s="190"/>
      <c r="C6" s="190"/>
      <c r="D6" s="77"/>
      <c r="E6" s="78"/>
      <c r="G6" s="114" t="s">
        <v>300</v>
      </c>
      <c r="H6" s="114"/>
      <c r="I6" s="108"/>
      <c r="J6" t="s">
        <v>305</v>
      </c>
      <c r="K6" s="184">
        <v>459</v>
      </c>
      <c r="L6" s="184">
        <v>477</v>
      </c>
      <c r="M6">
        <f>L6-K6</f>
        <v>18</v>
      </c>
      <c r="N6" s="72">
        <f>'so nguoi'!H11+'so nguoi'!H12+'so nguoi'!H13+'so nguoi'!H14+'so nguoi'!H15</f>
        <v>31</v>
      </c>
      <c r="O6">
        <f t="shared" ref="O6:O10" si="0">M6/N6</f>
        <v>0.58064516129032262</v>
      </c>
    </row>
    <row r="7" spans="1:15" ht="18.75" customHeight="1">
      <c r="A7" s="75"/>
      <c r="B7" s="190"/>
      <c r="C7" s="190"/>
      <c r="D7" s="77"/>
      <c r="E7" s="78"/>
      <c r="G7" s="123" t="s">
        <v>302</v>
      </c>
      <c r="H7" s="114"/>
      <c r="I7" s="108"/>
      <c r="J7" t="s">
        <v>306</v>
      </c>
      <c r="K7" s="184">
        <v>339</v>
      </c>
      <c r="L7" s="184">
        <v>349</v>
      </c>
      <c r="M7">
        <f t="shared" ref="M7:M10" si="1">L7-K7</f>
        <v>10</v>
      </c>
      <c r="N7" s="72">
        <f>'so nguoi'!J8+'so nguoi'!J9+'so nguoi'!J10+'so nguoi'!J16+'so nguoi'!J17+'so nguoi'!J18</f>
        <v>20</v>
      </c>
      <c r="O7">
        <f t="shared" si="0"/>
        <v>0.5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307</v>
      </c>
      <c r="K8" s="184">
        <v>487</v>
      </c>
      <c r="L8" s="184">
        <v>489</v>
      </c>
      <c r="M8">
        <f t="shared" si="1"/>
        <v>2</v>
      </c>
      <c r="N8">
        <f>'so nguoi'!J11+'so nguoi'!J12+'so nguoi'!J13+'so nguoi'!J14+'so nguoi'!J15</f>
        <v>19</v>
      </c>
      <c r="O8">
        <f>M8/N8</f>
        <v>0.10526315789473684</v>
      </c>
    </row>
    <row r="9" spans="1:15" s="2" customFormat="1" ht="24.75" customHeight="1">
      <c r="A9" s="159" t="s">
        <v>38</v>
      </c>
      <c r="B9" s="159"/>
      <c r="C9" s="159"/>
      <c r="D9" s="159"/>
      <c r="E9" s="216"/>
      <c r="F9" s="217"/>
      <c r="G9" s="229"/>
      <c r="H9" s="230">
        <f>SUM(G10:G12)</f>
        <v>245500</v>
      </c>
      <c r="I9" s="53"/>
      <c r="J9" s="2" t="s">
        <v>65</v>
      </c>
      <c r="K9" s="185">
        <v>1285</v>
      </c>
      <c r="L9" s="185">
        <v>1291</v>
      </c>
      <c r="M9" s="2">
        <f t="shared" si="1"/>
        <v>6</v>
      </c>
      <c r="N9" s="2">
        <f>'so nguoi'!L8+'so nguoi'!L9+'so nguoi'!L10+'so nguoi'!L11+'so nguoi'!L12+'so nguoi'!L13+'so nguoi'!L14</f>
        <v>10</v>
      </c>
      <c r="O9" s="2">
        <f t="shared" si="0"/>
        <v>0.6</v>
      </c>
    </row>
    <row r="10" spans="1:15" ht="16.5" customHeight="1">
      <c r="A10" s="189" t="s">
        <v>6</v>
      </c>
      <c r="B10" s="251">
        <v>7040</v>
      </c>
      <c r="C10" s="251">
        <v>7075</v>
      </c>
      <c r="D10" s="274">
        <f>VLOOKUP(RIGHT(LEFT(A9,11),4),'so nguoi'!$G$8:$N$21,2,0)</f>
        <v>6</v>
      </c>
      <c r="E10" s="61">
        <f>C10-B10</f>
        <v>35</v>
      </c>
      <c r="F10" s="62">
        <f>E10</f>
        <v>35</v>
      </c>
      <c r="G10" s="136">
        <f>F10*$L$2</f>
        <v>101500</v>
      </c>
      <c r="H10" s="137"/>
      <c r="J10" t="s">
        <v>66</v>
      </c>
      <c r="K10" s="184">
        <v>845</v>
      </c>
      <c r="L10" s="184">
        <v>845</v>
      </c>
      <c r="M10">
        <f t="shared" si="1"/>
        <v>0</v>
      </c>
      <c r="N10">
        <v>0</v>
      </c>
      <c r="O10" t="e">
        <f t="shared" si="0"/>
        <v>#DIV/0!</v>
      </c>
    </row>
    <row r="11" spans="1:15" ht="16.5" customHeight="1">
      <c r="A11" s="187" t="s">
        <v>36</v>
      </c>
      <c r="B11" s="187">
        <v>465</v>
      </c>
      <c r="C11" s="187">
        <v>470</v>
      </c>
      <c r="D11" s="275"/>
      <c r="E11" s="188">
        <f>C11-B11</f>
        <v>5</v>
      </c>
      <c r="F11" s="57">
        <f>E11</f>
        <v>5</v>
      </c>
      <c r="G11" s="135">
        <f>F11*$L$3</f>
        <v>90000</v>
      </c>
      <c r="H11" s="137"/>
    </row>
    <row r="12" spans="1:15" ht="16.5" customHeight="1">
      <c r="A12" s="187" t="s">
        <v>37</v>
      </c>
      <c r="B12" s="187">
        <v>856</v>
      </c>
      <c r="C12" s="187">
        <v>876</v>
      </c>
      <c r="D12" s="276"/>
      <c r="E12" s="188">
        <f>C12-B12</f>
        <v>20</v>
      </c>
      <c r="F12" s="57">
        <f>$O$5*D10</f>
        <v>3</v>
      </c>
      <c r="G12" s="135">
        <f>F12*$L$3</f>
        <v>54000</v>
      </c>
      <c r="H12" s="138"/>
      <c r="I12" s="105"/>
      <c r="J12" s="50"/>
    </row>
    <row r="13" spans="1:15" s="2" customFormat="1" ht="24.75" customHeight="1">
      <c r="A13" s="159" t="s">
        <v>39</v>
      </c>
      <c r="B13" s="159"/>
      <c r="C13" s="159"/>
      <c r="D13" s="159"/>
      <c r="E13" s="216"/>
      <c r="F13" s="217"/>
      <c r="G13" s="229"/>
      <c r="H13" s="230">
        <f>SUM(G14:G16)</f>
        <v>394100</v>
      </c>
      <c r="I13" s="53"/>
    </row>
    <row r="14" spans="1:15" ht="16.5" customHeight="1">
      <c r="A14" s="189" t="s">
        <v>6</v>
      </c>
      <c r="B14" s="189">
        <v>6734</v>
      </c>
      <c r="C14" s="189">
        <v>6783</v>
      </c>
      <c r="D14" s="274">
        <f>VLOOKUP(RIGHT(LEFT(A13,11),4),'so nguoi'!$G$8:$H$18,2,0)</f>
        <v>6</v>
      </c>
      <c r="E14" s="61">
        <f>C14-B14</f>
        <v>49</v>
      </c>
      <c r="F14" s="62">
        <f>E14</f>
        <v>49</v>
      </c>
      <c r="G14" s="136">
        <f>F14*$L$2</f>
        <v>142100</v>
      </c>
      <c r="H14" s="137"/>
    </row>
    <row r="15" spans="1:15" ht="16.5" customHeight="1">
      <c r="A15" s="187" t="s">
        <v>36</v>
      </c>
      <c r="B15" s="187">
        <v>335</v>
      </c>
      <c r="C15" s="187">
        <v>346</v>
      </c>
      <c r="D15" s="275"/>
      <c r="E15" s="188">
        <f>C15-B15</f>
        <v>11</v>
      </c>
      <c r="F15" s="57">
        <f>E15</f>
        <v>11</v>
      </c>
      <c r="G15" s="135">
        <f>F15*$L$3</f>
        <v>198000</v>
      </c>
      <c r="H15" s="137"/>
    </row>
    <row r="16" spans="1:15" ht="16.5" customHeight="1">
      <c r="A16" s="187" t="s">
        <v>37</v>
      </c>
      <c r="B16" s="187">
        <f>B12</f>
        <v>856</v>
      </c>
      <c r="C16" s="187">
        <f>C12</f>
        <v>876</v>
      </c>
      <c r="D16" s="276"/>
      <c r="E16" s="188">
        <f>C16-B16</f>
        <v>20</v>
      </c>
      <c r="F16" s="57">
        <f>$O$5*D14</f>
        <v>3</v>
      </c>
      <c r="G16" s="135">
        <f>F16*$L$3</f>
        <v>54000</v>
      </c>
      <c r="H16" s="138"/>
      <c r="J16" s="120"/>
    </row>
    <row r="17" spans="1:9" s="2" customFormat="1" ht="24.4" customHeight="1">
      <c r="A17" s="159" t="s">
        <v>271</v>
      </c>
      <c r="B17" s="159"/>
      <c r="C17" s="159"/>
      <c r="D17" s="159"/>
      <c r="E17" s="216"/>
      <c r="F17" s="217"/>
      <c r="G17" s="218"/>
      <c r="H17" s="202">
        <f>SUM(G18:G20)</f>
        <v>805700</v>
      </c>
      <c r="I17" s="53"/>
    </row>
    <row r="18" spans="1:9" ht="16.5" customHeight="1">
      <c r="A18" s="189" t="s">
        <v>6</v>
      </c>
      <c r="B18" s="189">
        <v>17590</v>
      </c>
      <c r="C18" s="189">
        <v>17753</v>
      </c>
      <c r="D18" s="274">
        <f>VLOOKUP(RIGHT(LEFT(A17,11),4),'so nguoi'!$G$8:$N$21,2,0)</f>
        <v>11</v>
      </c>
      <c r="E18" s="61">
        <f>C18-B18</f>
        <v>163</v>
      </c>
      <c r="F18" s="62">
        <f>E18</f>
        <v>163</v>
      </c>
      <c r="G18" s="136">
        <f>F18*$L$2</f>
        <v>472700</v>
      </c>
      <c r="H18" s="137"/>
    </row>
    <row r="19" spans="1:9" ht="16.5" customHeight="1">
      <c r="A19" s="187" t="s">
        <v>36</v>
      </c>
      <c r="B19" s="187">
        <v>480</v>
      </c>
      <c r="C19" s="187">
        <v>493</v>
      </c>
      <c r="D19" s="275"/>
      <c r="E19" s="188">
        <f>C19-B19</f>
        <v>13</v>
      </c>
      <c r="F19" s="57">
        <f>E19</f>
        <v>13</v>
      </c>
      <c r="G19" s="135">
        <f>F19*$L$3</f>
        <v>234000</v>
      </c>
      <c r="H19" s="137"/>
    </row>
    <row r="20" spans="1:9" ht="16.5" customHeight="1">
      <c r="A20" s="187" t="s">
        <v>37</v>
      </c>
      <c r="B20" s="187">
        <f>B12</f>
        <v>856</v>
      </c>
      <c r="C20" s="187">
        <f>C12</f>
        <v>876</v>
      </c>
      <c r="D20" s="276"/>
      <c r="E20" s="188">
        <f>C20-B20</f>
        <v>20</v>
      </c>
      <c r="F20" s="57">
        <f>$O$5*D18</f>
        <v>5.5</v>
      </c>
      <c r="G20" s="135">
        <f>F20*$L$3</f>
        <v>99000</v>
      </c>
      <c r="H20" s="138"/>
    </row>
    <row r="21" spans="1:9" s="2" customFormat="1" ht="24.4" customHeight="1">
      <c r="A21" s="159" t="s">
        <v>272</v>
      </c>
      <c r="B21" s="159"/>
      <c r="C21" s="159"/>
      <c r="D21" s="159"/>
      <c r="E21" s="216"/>
      <c r="F21" s="217"/>
      <c r="G21" s="218"/>
      <c r="H21" s="202">
        <f>SUM(G22:G24)</f>
        <v>332009.67741935485</v>
      </c>
      <c r="I21" s="53">
        <f>F21*12000</f>
        <v>0</v>
      </c>
    </row>
    <row r="22" spans="1:9" ht="16.5" customHeight="1">
      <c r="A22" s="187" t="s">
        <v>6</v>
      </c>
      <c r="B22" s="215">
        <v>5502</v>
      </c>
      <c r="C22" s="187">
        <v>5539</v>
      </c>
      <c r="D22" s="274">
        <f>VLOOKUP(RIGHT(LEFT(A21,11),4),'so nguoi'!$G$8:$N$21,2,0)</f>
        <v>6</v>
      </c>
      <c r="E22" s="61">
        <f>C22-B22</f>
        <v>37</v>
      </c>
      <c r="F22" s="62">
        <f>E22</f>
        <v>37</v>
      </c>
      <c r="G22" s="136">
        <f>F22*$L$2</f>
        <v>107300</v>
      </c>
      <c r="H22" s="137"/>
    </row>
    <row r="23" spans="1:9" ht="16.5" customHeight="1">
      <c r="A23" s="187" t="s">
        <v>36</v>
      </c>
      <c r="B23" s="187">
        <v>251</v>
      </c>
      <c r="C23" s="187">
        <v>260</v>
      </c>
      <c r="D23" s="275"/>
      <c r="E23" s="188">
        <f>C23-B23</f>
        <v>9</v>
      </c>
      <c r="F23" s="57">
        <f>E23</f>
        <v>9</v>
      </c>
      <c r="G23" s="135">
        <f>F23*$L$3</f>
        <v>162000</v>
      </c>
      <c r="H23" s="137"/>
    </row>
    <row r="24" spans="1:9" ht="16.5" customHeight="1">
      <c r="A24" s="187" t="s">
        <v>37</v>
      </c>
      <c r="B24" s="187">
        <v>459</v>
      </c>
      <c r="C24" s="187">
        <v>477</v>
      </c>
      <c r="D24" s="276"/>
      <c r="E24" s="188">
        <f>C24-B24</f>
        <v>18</v>
      </c>
      <c r="F24" s="57">
        <f>$O$6*D22</f>
        <v>3.4838709677419359</v>
      </c>
      <c r="G24" s="135">
        <f>F24*$L$3</f>
        <v>62709.677419354848</v>
      </c>
      <c r="H24" s="138"/>
    </row>
    <row r="25" spans="1:9" s="2" customFormat="1" ht="24.4" customHeight="1">
      <c r="A25" s="159" t="s">
        <v>40</v>
      </c>
      <c r="B25" s="159"/>
      <c r="C25" s="159"/>
      <c r="D25" s="159"/>
      <c r="E25" s="216"/>
      <c r="F25" s="217"/>
      <c r="G25" s="218"/>
      <c r="H25" s="202">
        <f>SUM(G26:G28)</f>
        <v>490261.29032258067</v>
      </c>
      <c r="I25" s="53">
        <f>F25*12000</f>
        <v>0</v>
      </c>
    </row>
    <row r="26" spans="1:9" ht="16.5" customHeight="1">
      <c r="A26" s="189" t="s">
        <v>6</v>
      </c>
      <c r="B26" s="189">
        <v>7162</v>
      </c>
      <c r="C26" s="189">
        <v>7281</v>
      </c>
      <c r="D26" s="274">
        <f>VLOOKUP(RIGHT(LEFT(A25,11),4),'so nguoi'!$G$8:$N$21,2,0)</f>
        <v>7</v>
      </c>
      <c r="E26" s="61">
        <f>C26-B26</f>
        <v>119</v>
      </c>
      <c r="F26" s="62">
        <f>E26</f>
        <v>119</v>
      </c>
      <c r="G26" s="136">
        <f>F26*$L$2</f>
        <v>345100</v>
      </c>
      <c r="H26" s="137"/>
    </row>
    <row r="27" spans="1:9" ht="16.5" customHeight="1">
      <c r="A27" s="187" t="s">
        <v>36</v>
      </c>
      <c r="B27" s="187">
        <v>241</v>
      </c>
      <c r="C27" s="187">
        <v>245</v>
      </c>
      <c r="D27" s="275"/>
      <c r="E27" s="188">
        <f>C27-B27</f>
        <v>4</v>
      </c>
      <c r="F27" s="57">
        <f>E27</f>
        <v>4</v>
      </c>
      <c r="G27" s="135">
        <f>F27*$L$3</f>
        <v>72000</v>
      </c>
      <c r="H27" s="137"/>
    </row>
    <row r="28" spans="1:9" ht="21.75" customHeight="1">
      <c r="A28" s="187" t="s">
        <v>37</v>
      </c>
      <c r="B28" s="187">
        <f>B24</f>
        <v>459</v>
      </c>
      <c r="C28" s="187">
        <f>C24</f>
        <v>477</v>
      </c>
      <c r="D28" s="276"/>
      <c r="E28" s="188">
        <f>C28-B28</f>
        <v>18</v>
      </c>
      <c r="F28" s="57">
        <f>$O$6*D26</f>
        <v>4.064516129032258</v>
      </c>
      <c r="G28" s="135">
        <f>F28*$L$3</f>
        <v>73161.290322580651</v>
      </c>
      <c r="H28" s="138"/>
    </row>
    <row r="29" spans="1:9" s="2" customFormat="1" ht="24.75" customHeight="1">
      <c r="A29" s="219" t="s">
        <v>41</v>
      </c>
      <c r="B29" s="219"/>
      <c r="C29" s="219"/>
      <c r="D29" s="219"/>
      <c r="E29" s="220"/>
      <c r="F29" s="221"/>
      <c r="G29" s="222"/>
      <c r="H29" s="223">
        <f>SUM(G30:G32)</f>
        <v>409109.67741935485</v>
      </c>
      <c r="I29" s="50">
        <f>F29*12000</f>
        <v>0</v>
      </c>
    </row>
    <row r="30" spans="1:9" ht="16.5" customHeight="1">
      <c r="A30" s="189" t="s">
        <v>6</v>
      </c>
      <c r="B30" s="189">
        <v>16782</v>
      </c>
      <c r="C30" s="189">
        <v>16858</v>
      </c>
      <c r="D30" s="274">
        <f>VLOOKUP(RIGHT(LEFT(A29,11),4),'so nguoi'!$G$8:$N$21,2,0)</f>
        <v>6</v>
      </c>
      <c r="E30" s="61">
        <f>C30-B30</f>
        <v>76</v>
      </c>
      <c r="F30" s="62">
        <f>E30</f>
        <v>76</v>
      </c>
      <c r="G30" s="136">
        <f>F30*$L$2</f>
        <v>220400</v>
      </c>
      <c r="H30" s="137"/>
    </row>
    <row r="31" spans="1:9" ht="16.5" customHeight="1">
      <c r="A31" s="187" t="s">
        <v>36</v>
      </c>
      <c r="B31" s="187">
        <v>80</v>
      </c>
      <c r="C31" s="187">
        <v>87</v>
      </c>
      <c r="D31" s="275"/>
      <c r="E31" s="188">
        <f>C31-B31</f>
        <v>7</v>
      </c>
      <c r="F31" s="57">
        <f>E31</f>
        <v>7</v>
      </c>
      <c r="G31" s="135">
        <f>F31*$L$3</f>
        <v>126000</v>
      </c>
      <c r="H31" s="137"/>
    </row>
    <row r="32" spans="1:9" ht="16.5" customHeight="1">
      <c r="A32" s="187" t="s">
        <v>37</v>
      </c>
      <c r="B32" s="187">
        <f>B28</f>
        <v>459</v>
      </c>
      <c r="C32" s="187">
        <f>C28</f>
        <v>477</v>
      </c>
      <c r="D32" s="276"/>
      <c r="E32" s="188">
        <f>C32-B32</f>
        <v>18</v>
      </c>
      <c r="F32" s="57">
        <f>$O$6*D30</f>
        <v>3.4838709677419359</v>
      </c>
      <c r="G32" s="135">
        <f>F32*$L$3</f>
        <v>62709.677419354848</v>
      </c>
      <c r="H32" s="138"/>
    </row>
    <row r="33" spans="1:9" s="185" customFormat="1" ht="24.75" customHeight="1">
      <c r="A33" s="219" t="s">
        <v>273</v>
      </c>
      <c r="B33" s="219"/>
      <c r="C33" s="219"/>
      <c r="D33" s="219"/>
      <c r="E33" s="220"/>
      <c r="F33" s="221"/>
      <c r="G33" s="222"/>
      <c r="H33" s="223">
        <f>SUM(G34:G36)</f>
        <v>389409.67741935485</v>
      </c>
      <c r="I33" s="50">
        <f>F33*12000</f>
        <v>0</v>
      </c>
    </row>
    <row r="34" spans="1:9" s="184" customFormat="1" ht="16.5" customHeight="1">
      <c r="A34" s="189" t="s">
        <v>6</v>
      </c>
      <c r="B34" s="189">
        <v>6811</v>
      </c>
      <c r="C34" s="189">
        <v>6874</v>
      </c>
      <c r="D34" s="274">
        <f>VLOOKUP(RIGHT(LEFT(A33,11),4),'so nguoi'!$G$8:$N$21,2,0)</f>
        <v>6</v>
      </c>
      <c r="E34" s="61">
        <f>C34-B34</f>
        <v>63</v>
      </c>
      <c r="F34" s="62">
        <f>E34</f>
        <v>63</v>
      </c>
      <c r="G34" s="136">
        <f>F34*$L$2</f>
        <v>182700</v>
      </c>
      <c r="H34" s="137"/>
      <c r="I34" s="50"/>
    </row>
    <row r="35" spans="1:9" s="184" customFormat="1" ht="16.5" customHeight="1">
      <c r="A35" s="187" t="s">
        <v>36</v>
      </c>
      <c r="B35" s="187">
        <v>248</v>
      </c>
      <c r="C35" s="187">
        <v>256</v>
      </c>
      <c r="D35" s="275"/>
      <c r="E35" s="188">
        <f>C35-B35</f>
        <v>8</v>
      </c>
      <c r="F35" s="57">
        <f>E35</f>
        <v>8</v>
      </c>
      <c r="G35" s="135">
        <f>F35*$L$3</f>
        <v>144000</v>
      </c>
      <c r="H35" s="137"/>
      <c r="I35" s="50"/>
    </row>
    <row r="36" spans="1:9" s="184" customFormat="1" ht="16.5" customHeight="1">
      <c r="A36" s="187" t="s">
        <v>37</v>
      </c>
      <c r="B36" s="187">
        <f>B32</f>
        <v>459</v>
      </c>
      <c r="C36" s="187">
        <f>C32</f>
        <v>477</v>
      </c>
      <c r="D36" s="276"/>
      <c r="E36" s="188">
        <f>C36-B36</f>
        <v>18</v>
      </c>
      <c r="F36" s="57">
        <f>$O$6*D34</f>
        <v>3.4838709677419359</v>
      </c>
      <c r="G36" s="135">
        <f>F36*$L$3</f>
        <v>62709.677419354848</v>
      </c>
      <c r="H36" s="138"/>
      <c r="I36" s="50"/>
    </row>
    <row r="37" spans="1:9" s="185" customFormat="1" ht="24.75" customHeight="1">
      <c r="A37" s="219" t="s">
        <v>274</v>
      </c>
      <c r="B37" s="219"/>
      <c r="C37" s="219"/>
      <c r="D37" s="219"/>
      <c r="E37" s="220"/>
      <c r="F37" s="221"/>
      <c r="G37" s="222"/>
      <c r="H37" s="223">
        <f>SUM(G38:G40)</f>
        <v>528009.67741935491</v>
      </c>
      <c r="I37" s="50">
        <f>F37*12000</f>
        <v>0</v>
      </c>
    </row>
    <row r="38" spans="1:9" s="184" customFormat="1" ht="16.5" customHeight="1">
      <c r="A38" s="189" t="s">
        <v>6</v>
      </c>
      <c r="B38" s="189">
        <v>15859</v>
      </c>
      <c r="C38" s="189">
        <v>15976</v>
      </c>
      <c r="D38" s="274">
        <f>VLOOKUP(RIGHT(LEFT(A37,11),4),'so nguoi'!$G$8:$N$21,2,0)</f>
        <v>6</v>
      </c>
      <c r="E38" s="61">
        <f>C38-B38</f>
        <v>117</v>
      </c>
      <c r="F38" s="62">
        <f>E38</f>
        <v>117</v>
      </c>
      <c r="G38" s="136">
        <f>F38*$L$2</f>
        <v>339300</v>
      </c>
      <c r="H38" s="137"/>
      <c r="I38" s="50"/>
    </row>
    <row r="39" spans="1:9" s="184" customFormat="1" ht="16.5" customHeight="1">
      <c r="A39" s="187" t="s">
        <v>36</v>
      </c>
      <c r="B39" s="187">
        <v>196</v>
      </c>
      <c r="C39" s="187">
        <v>203</v>
      </c>
      <c r="D39" s="275"/>
      <c r="E39" s="188">
        <f>C39-B39</f>
        <v>7</v>
      </c>
      <c r="F39" s="57">
        <f>E39</f>
        <v>7</v>
      </c>
      <c r="G39" s="135">
        <f>F39*$L$3</f>
        <v>126000</v>
      </c>
      <c r="H39" s="137"/>
      <c r="I39" s="50"/>
    </row>
    <row r="40" spans="1:9" s="184" customFormat="1" ht="16.5" customHeight="1">
      <c r="A40" s="187" t="s">
        <v>37</v>
      </c>
      <c r="B40" s="187">
        <f>B36</f>
        <v>459</v>
      </c>
      <c r="C40" s="187">
        <f>C36</f>
        <v>477</v>
      </c>
      <c r="D40" s="276"/>
      <c r="E40" s="188">
        <f>C40-B40</f>
        <v>18</v>
      </c>
      <c r="F40" s="57">
        <f>$O$6*D38</f>
        <v>3.4838709677419359</v>
      </c>
      <c r="G40" s="135">
        <f>F40*$L$3</f>
        <v>62709.677419354848</v>
      </c>
      <c r="H40" s="138"/>
      <c r="I40" s="50"/>
    </row>
    <row r="41" spans="1:9" s="185" customFormat="1" ht="24.75" customHeight="1">
      <c r="A41" s="219" t="s">
        <v>275</v>
      </c>
      <c r="B41" s="219"/>
      <c r="C41" s="219"/>
      <c r="D41" s="219"/>
      <c r="E41" s="220"/>
      <c r="F41" s="221"/>
      <c r="G41" s="222"/>
      <c r="H41" s="223">
        <f>SUM(G42:G44)</f>
        <v>184800</v>
      </c>
      <c r="I41" s="50">
        <f>F41*12000</f>
        <v>0</v>
      </c>
    </row>
    <row r="42" spans="1:9" s="184" customFormat="1" ht="16.5" customHeight="1">
      <c r="A42" s="189" t="s">
        <v>6</v>
      </c>
      <c r="B42" s="189">
        <v>11484</v>
      </c>
      <c r="C42" s="189">
        <v>11526</v>
      </c>
      <c r="D42" s="274">
        <f>VLOOKUP(RIGHT(LEFT(A41,11),4),'so nguoi'!$G$8:$N$21,2,0)</f>
        <v>5</v>
      </c>
      <c r="E42" s="61">
        <f>C42-B42</f>
        <v>42</v>
      </c>
      <c r="F42" s="62">
        <f>E42</f>
        <v>42</v>
      </c>
      <c r="G42" s="136">
        <f>F42*$L$2</f>
        <v>121800</v>
      </c>
      <c r="H42" s="137"/>
      <c r="I42" s="50"/>
    </row>
    <row r="43" spans="1:9" s="184" customFormat="1" ht="16.5" customHeight="1">
      <c r="A43" s="187" t="s">
        <v>36</v>
      </c>
      <c r="B43" s="187">
        <v>267</v>
      </c>
      <c r="C43" s="187">
        <v>268</v>
      </c>
      <c r="D43" s="275"/>
      <c r="E43" s="188">
        <f>C43-B43</f>
        <v>1</v>
      </c>
      <c r="F43" s="57">
        <f>E43</f>
        <v>1</v>
      </c>
      <c r="G43" s="135">
        <f>F43*$L$3</f>
        <v>18000</v>
      </c>
      <c r="H43" s="137"/>
      <c r="I43" s="50"/>
    </row>
    <row r="44" spans="1:9" s="184" customFormat="1" ht="16.5" customHeight="1">
      <c r="A44" s="187" t="s">
        <v>37</v>
      </c>
      <c r="B44" s="187">
        <f>B20</f>
        <v>856</v>
      </c>
      <c r="C44" s="187">
        <f>C20</f>
        <v>876</v>
      </c>
      <c r="D44" s="276"/>
      <c r="E44" s="188">
        <f>C44-B44</f>
        <v>20</v>
      </c>
      <c r="F44" s="254">
        <f>$O$5*D42</f>
        <v>2.5</v>
      </c>
      <c r="G44" s="135">
        <f>F44*$L$3</f>
        <v>45000</v>
      </c>
      <c r="H44" s="138"/>
      <c r="I44" s="50"/>
    </row>
    <row r="45" spans="1:9" s="185" customFormat="1" ht="24.75" customHeight="1">
      <c r="A45" s="219" t="s">
        <v>276</v>
      </c>
      <c r="B45" s="219"/>
      <c r="C45" s="219"/>
      <c r="D45" s="219"/>
      <c r="E45" s="220"/>
      <c r="F45" s="221"/>
      <c r="G45" s="222"/>
      <c r="H45" s="223">
        <f>SUM(G46:G48)</f>
        <v>405700</v>
      </c>
      <c r="I45" s="50">
        <f>F45*12000</f>
        <v>0</v>
      </c>
    </row>
    <row r="46" spans="1:9" s="184" customFormat="1" ht="16.5" customHeight="1">
      <c r="A46" s="189" t="s">
        <v>6</v>
      </c>
      <c r="B46" s="189">
        <v>5397</v>
      </c>
      <c r="C46" s="189">
        <v>5450</v>
      </c>
      <c r="D46" s="274">
        <f>VLOOKUP(RIGHT(LEFT(A45,11),4),'so nguoi'!$G$8:$N$21,2,0)</f>
        <v>6</v>
      </c>
      <c r="E46" s="61">
        <f>C46-B46</f>
        <v>53</v>
      </c>
      <c r="F46" s="62">
        <f>E46</f>
        <v>53</v>
      </c>
      <c r="G46" s="136">
        <f>F46*$L$2</f>
        <v>153700</v>
      </c>
      <c r="H46" s="137"/>
      <c r="I46" s="50"/>
    </row>
    <row r="47" spans="1:9" s="184" customFormat="1" ht="16.5" customHeight="1">
      <c r="A47" s="187" t="s">
        <v>36</v>
      </c>
      <c r="B47" s="187">
        <v>352</v>
      </c>
      <c r="C47" s="187">
        <v>363</v>
      </c>
      <c r="D47" s="275"/>
      <c r="E47" s="188">
        <f>C47-B47</f>
        <v>11</v>
      </c>
      <c r="F47" s="57">
        <f>E47</f>
        <v>11</v>
      </c>
      <c r="G47" s="135">
        <f>F47*$L$3</f>
        <v>198000</v>
      </c>
      <c r="H47" s="137"/>
      <c r="I47" s="50"/>
    </row>
    <row r="48" spans="1:9" s="184" customFormat="1" ht="16.5" customHeight="1">
      <c r="A48" s="187" t="s">
        <v>37</v>
      </c>
      <c r="B48" s="187">
        <f>B12</f>
        <v>856</v>
      </c>
      <c r="C48" s="187">
        <f>C12</f>
        <v>876</v>
      </c>
      <c r="D48" s="276"/>
      <c r="E48" s="188">
        <f>C48-B48</f>
        <v>20</v>
      </c>
      <c r="F48" s="57">
        <f>$O$5*D46</f>
        <v>3</v>
      </c>
      <c r="G48" s="135">
        <f>F48*$L$3</f>
        <v>54000</v>
      </c>
      <c r="H48" s="138"/>
      <c r="I48" s="50"/>
    </row>
    <row r="49" spans="1:9" s="185" customFormat="1" ht="24.75" customHeight="1">
      <c r="A49" s="219" t="s">
        <v>277</v>
      </c>
      <c r="B49" s="219"/>
      <c r="C49" s="219"/>
      <c r="D49" s="219"/>
      <c r="E49" s="220"/>
      <c r="F49" s="221"/>
      <c r="G49" s="222"/>
      <c r="H49" s="223">
        <f>SUM(G50:G52)</f>
        <v>343000</v>
      </c>
      <c r="I49" s="50">
        <f>F49*12000</f>
        <v>0</v>
      </c>
    </row>
    <row r="50" spans="1:9" s="184" customFormat="1" ht="16.5" customHeight="1">
      <c r="A50" s="189" t="s">
        <v>6</v>
      </c>
      <c r="B50" s="189">
        <v>8112</v>
      </c>
      <c r="C50" s="189">
        <v>8162</v>
      </c>
      <c r="D50" s="274">
        <f>VLOOKUP(RIGHT(LEFT(A49,11),4),'so nguoi'!$G$8:$N$21,2,0)</f>
        <v>6</v>
      </c>
      <c r="E50" s="61">
        <f>C50-B50</f>
        <v>50</v>
      </c>
      <c r="F50" s="62">
        <f>E50</f>
        <v>50</v>
      </c>
      <c r="G50" s="136">
        <f>F50*$L$2</f>
        <v>145000</v>
      </c>
      <c r="H50" s="137"/>
      <c r="I50" s="50"/>
    </row>
    <row r="51" spans="1:9" s="184" customFormat="1" ht="16.5" customHeight="1">
      <c r="A51" s="187" t="s">
        <v>36</v>
      </c>
      <c r="B51" s="187">
        <v>347</v>
      </c>
      <c r="C51" s="187">
        <v>355</v>
      </c>
      <c r="D51" s="275"/>
      <c r="E51" s="188">
        <f>C51-B51</f>
        <v>8</v>
      </c>
      <c r="F51" s="57">
        <f>E51</f>
        <v>8</v>
      </c>
      <c r="G51" s="135">
        <f>F51*$L$3</f>
        <v>144000</v>
      </c>
      <c r="H51" s="137"/>
      <c r="I51" s="50"/>
    </row>
    <row r="52" spans="1:9" s="184" customFormat="1" ht="16.5" customHeight="1">
      <c r="A52" s="187" t="s">
        <v>37</v>
      </c>
      <c r="B52" s="187">
        <f>B48</f>
        <v>856</v>
      </c>
      <c r="C52" s="187">
        <f>C48</f>
        <v>876</v>
      </c>
      <c r="D52" s="276"/>
      <c r="E52" s="188">
        <f>C52-B52</f>
        <v>20</v>
      </c>
      <c r="F52" s="57">
        <f>$O$5*D50</f>
        <v>3</v>
      </c>
      <c r="G52" s="135">
        <f>F52*$L$3</f>
        <v>54000</v>
      </c>
      <c r="H52" s="138"/>
      <c r="I52" s="50"/>
    </row>
    <row r="53" spans="1:9" s="185" customFormat="1" ht="24.75" customHeight="1">
      <c r="A53" s="219" t="s">
        <v>278</v>
      </c>
      <c r="B53" s="219"/>
      <c r="C53" s="219"/>
      <c r="D53" s="219"/>
      <c r="E53" s="220"/>
      <c r="F53" s="221"/>
      <c r="G53" s="222"/>
      <c r="H53" s="223">
        <f>SUM(G54:G56)</f>
        <v>56000</v>
      </c>
      <c r="I53" s="50">
        <f>F53*12000</f>
        <v>0</v>
      </c>
    </row>
    <row r="54" spans="1:9" s="184" customFormat="1" ht="16.5" customHeight="1">
      <c r="A54" s="189" t="s">
        <v>6</v>
      </c>
      <c r="B54" s="214">
        <v>13409</v>
      </c>
      <c r="C54" s="214">
        <v>13419</v>
      </c>
      <c r="D54" s="274">
        <f>VLOOKUP(RIGHT(LEFT(A53,11),4),'so nguoi'!$I$8:$N$21,2,0)</f>
        <v>1</v>
      </c>
      <c r="E54" s="61">
        <f>C54-B54</f>
        <v>10</v>
      </c>
      <c r="F54" s="62">
        <f>E54</f>
        <v>10</v>
      </c>
      <c r="G54" s="136">
        <f>F54*$L$2</f>
        <v>29000</v>
      </c>
      <c r="H54" s="137"/>
      <c r="I54" s="50"/>
    </row>
    <row r="55" spans="1:9" s="184" customFormat="1" ht="16.5" customHeight="1">
      <c r="A55" s="187" t="s">
        <v>36</v>
      </c>
      <c r="B55" s="187">
        <v>163</v>
      </c>
      <c r="C55" s="187">
        <v>164</v>
      </c>
      <c r="D55" s="275"/>
      <c r="E55" s="188">
        <f>C55-B55</f>
        <v>1</v>
      </c>
      <c r="F55" s="57">
        <f>E55</f>
        <v>1</v>
      </c>
      <c r="G55" s="135">
        <f>F55*$L$3</f>
        <v>18000</v>
      </c>
      <c r="H55" s="137"/>
      <c r="I55" s="50"/>
    </row>
    <row r="56" spans="1:9" s="184" customFormat="1" ht="16.5" customHeight="1">
      <c r="A56" s="187" t="s">
        <v>37</v>
      </c>
      <c r="B56" s="187">
        <v>339</v>
      </c>
      <c r="C56" s="187">
        <v>349</v>
      </c>
      <c r="D56" s="276"/>
      <c r="E56" s="188">
        <f>C56-B56</f>
        <v>10</v>
      </c>
      <c r="F56" s="57">
        <f>$O$7*D54</f>
        <v>0.5</v>
      </c>
      <c r="G56" s="135">
        <f>F56*$L$3</f>
        <v>9000</v>
      </c>
      <c r="H56" s="138"/>
      <c r="I56" s="50"/>
    </row>
    <row r="57" spans="1:9" s="185" customFormat="1" ht="24.75" customHeight="1">
      <c r="A57" s="219" t="s">
        <v>279</v>
      </c>
      <c r="B57" s="219"/>
      <c r="C57" s="219"/>
      <c r="D57" s="219"/>
      <c r="E57" s="220"/>
      <c r="F57" s="221"/>
      <c r="G57" s="222"/>
      <c r="H57" s="223">
        <f>SUM(G58:G60)</f>
        <v>38600</v>
      </c>
      <c r="I57" s="50">
        <f>F57*12000</f>
        <v>0</v>
      </c>
    </row>
    <row r="58" spans="1:9" s="184" customFormat="1" ht="16.5" customHeight="1">
      <c r="A58" s="189" t="s">
        <v>6</v>
      </c>
      <c r="B58" s="214">
        <v>14949</v>
      </c>
      <c r="C58" s="214">
        <v>14953</v>
      </c>
      <c r="D58" s="274">
        <f>VLOOKUP(RIGHT(LEFT(A57,11),4),'so nguoi'!$I8:$N$21,2,0)</f>
        <v>1</v>
      </c>
      <c r="E58" s="61">
        <f>C58-B58</f>
        <v>4</v>
      </c>
      <c r="F58" s="62">
        <f>E58</f>
        <v>4</v>
      </c>
      <c r="G58" s="136">
        <f>F58*$L$2</f>
        <v>11600</v>
      </c>
      <c r="H58" s="137"/>
      <c r="I58" s="50"/>
    </row>
    <row r="59" spans="1:9" s="184" customFormat="1" ht="16.5" customHeight="1">
      <c r="A59" s="187" t="s">
        <v>36</v>
      </c>
      <c r="B59" s="187">
        <v>122</v>
      </c>
      <c r="C59" s="187">
        <v>123</v>
      </c>
      <c r="D59" s="275"/>
      <c r="E59" s="188">
        <f>C59-B59</f>
        <v>1</v>
      </c>
      <c r="F59" s="57">
        <f>E59</f>
        <v>1</v>
      </c>
      <c r="G59" s="135">
        <f>F59*$L$3</f>
        <v>18000</v>
      </c>
      <c r="H59" s="137"/>
      <c r="I59" s="50"/>
    </row>
    <row r="60" spans="1:9" s="184" customFormat="1" ht="16.5" customHeight="1">
      <c r="A60" s="187" t="s">
        <v>37</v>
      </c>
      <c r="B60" s="187">
        <f>B56</f>
        <v>339</v>
      </c>
      <c r="C60" s="187">
        <f>C56</f>
        <v>349</v>
      </c>
      <c r="D60" s="276"/>
      <c r="E60" s="188">
        <f>C60-B60</f>
        <v>10</v>
      </c>
      <c r="F60" s="57">
        <f>$O$7*D58</f>
        <v>0.5</v>
      </c>
      <c r="G60" s="135">
        <f>F60*$L$3</f>
        <v>9000</v>
      </c>
      <c r="H60" s="138"/>
      <c r="I60" s="50"/>
    </row>
    <row r="61" spans="1:9" s="185" customFormat="1" ht="24.75" customHeight="1">
      <c r="A61" s="219" t="s">
        <v>280</v>
      </c>
      <c r="B61" s="219"/>
      <c r="C61" s="219"/>
      <c r="D61" s="219"/>
      <c r="E61" s="220"/>
      <c r="F61" s="221"/>
      <c r="G61" s="222"/>
      <c r="H61" s="223">
        <f>SUM(G62:G64)</f>
        <v>477600</v>
      </c>
      <c r="I61" s="50">
        <f>F61*12000</f>
        <v>0</v>
      </c>
    </row>
    <row r="62" spans="1:9" s="184" customFormat="1" ht="16.5" customHeight="1">
      <c r="A62" s="189" t="s">
        <v>6</v>
      </c>
      <c r="B62" s="189">
        <v>19053</v>
      </c>
      <c r="C62" s="189">
        <v>19137</v>
      </c>
      <c r="D62" s="274">
        <f>VLOOKUP(RIGHT(LEFT(A61,11),4),'so nguoi'!$I$8:$N$21,2,0)</f>
        <v>8</v>
      </c>
      <c r="E62" s="61">
        <f>C62-B62</f>
        <v>84</v>
      </c>
      <c r="F62" s="62">
        <f>E62</f>
        <v>84</v>
      </c>
      <c r="G62" s="136">
        <f>F62*$L$2</f>
        <v>243600</v>
      </c>
      <c r="H62" s="137"/>
      <c r="I62" s="50"/>
    </row>
    <row r="63" spans="1:9" s="184" customFormat="1" ht="16.5" customHeight="1">
      <c r="A63" s="187" t="s">
        <v>36</v>
      </c>
      <c r="B63" s="187">
        <v>150</v>
      </c>
      <c r="C63" s="187">
        <v>159</v>
      </c>
      <c r="D63" s="275"/>
      <c r="E63" s="188">
        <f>C63-B63</f>
        <v>9</v>
      </c>
      <c r="F63" s="57">
        <f>E63</f>
        <v>9</v>
      </c>
      <c r="G63" s="135">
        <f>F63*$L$3</f>
        <v>162000</v>
      </c>
      <c r="H63" s="137"/>
      <c r="I63" s="50"/>
    </row>
    <row r="64" spans="1:9" s="184" customFormat="1" ht="16.5" customHeight="1">
      <c r="A64" s="187" t="s">
        <v>37</v>
      </c>
      <c r="B64" s="187">
        <f>B56</f>
        <v>339</v>
      </c>
      <c r="C64" s="187">
        <f>C56</f>
        <v>349</v>
      </c>
      <c r="D64" s="276"/>
      <c r="E64" s="188">
        <f>C64-B64</f>
        <v>10</v>
      </c>
      <c r="F64" s="57">
        <f>$O$7*D62</f>
        <v>4</v>
      </c>
      <c r="G64" s="135">
        <f>F64*$L$3</f>
        <v>72000</v>
      </c>
      <c r="H64" s="138"/>
      <c r="I64" s="50"/>
    </row>
    <row r="65" spans="1:9" s="185" customFormat="1" ht="24.75" customHeight="1">
      <c r="A65" s="219" t="s">
        <v>281</v>
      </c>
      <c r="B65" s="219"/>
      <c r="C65" s="219"/>
      <c r="D65" s="219"/>
      <c r="E65" s="220"/>
      <c r="F65" s="221"/>
      <c r="G65" s="222"/>
      <c r="H65" s="223">
        <f>SUM(G66:G68)</f>
        <v>305178.94736842107</v>
      </c>
      <c r="I65" s="50">
        <f>F65*12000</f>
        <v>0</v>
      </c>
    </row>
    <row r="66" spans="1:9" s="184" customFormat="1" ht="16.5" customHeight="1">
      <c r="A66" s="189" t="s">
        <v>6</v>
      </c>
      <c r="B66" s="189">
        <v>16981</v>
      </c>
      <c r="C66" s="189">
        <v>17065</v>
      </c>
      <c r="D66" s="274">
        <f>VLOOKUP(RIGHT(LEFT(A65,11),4),'so nguoi'!$I$8:$N$21,2,0)</f>
        <v>4</v>
      </c>
      <c r="E66" s="61">
        <f>C66-B66</f>
        <v>84</v>
      </c>
      <c r="F66" s="62">
        <f>E66</f>
        <v>84</v>
      </c>
      <c r="G66" s="136">
        <f>F66*$L$2</f>
        <v>243600</v>
      </c>
      <c r="H66" s="137"/>
      <c r="I66" s="50"/>
    </row>
    <row r="67" spans="1:9" s="184" customFormat="1" ht="16.5" customHeight="1">
      <c r="A67" s="187" t="s">
        <v>36</v>
      </c>
      <c r="B67" s="187">
        <v>130</v>
      </c>
      <c r="C67" s="187">
        <v>133</v>
      </c>
      <c r="D67" s="275"/>
      <c r="E67" s="188">
        <f>C67-B67</f>
        <v>3</v>
      </c>
      <c r="F67" s="57">
        <f>E67</f>
        <v>3</v>
      </c>
      <c r="G67" s="135">
        <f>F67*$L$3</f>
        <v>54000</v>
      </c>
      <c r="H67" s="137"/>
      <c r="I67" s="50"/>
    </row>
    <row r="68" spans="1:9" s="184" customFormat="1" ht="16.5" customHeight="1">
      <c r="A68" s="187" t="s">
        <v>37</v>
      </c>
      <c r="B68" s="187">
        <v>487</v>
      </c>
      <c r="C68" s="187">
        <v>489</v>
      </c>
      <c r="D68" s="276"/>
      <c r="E68" s="188">
        <f>C68-B68</f>
        <v>2</v>
      </c>
      <c r="F68" s="57">
        <f>$O$8*D66</f>
        <v>0.42105263157894735</v>
      </c>
      <c r="G68" s="135">
        <f>F68*$L$3</f>
        <v>7578.9473684210525</v>
      </c>
      <c r="H68" s="138"/>
      <c r="I68" s="50"/>
    </row>
    <row r="69" spans="1:9" s="185" customFormat="1" ht="24.75" customHeight="1">
      <c r="A69" s="219" t="s">
        <v>282</v>
      </c>
      <c r="B69" s="219"/>
      <c r="C69" s="219"/>
      <c r="D69" s="219"/>
      <c r="E69" s="220"/>
      <c r="F69" s="221"/>
      <c r="G69" s="222"/>
      <c r="H69" s="223">
        <f>SUM(G70:G72)</f>
        <v>290178.94736842107</v>
      </c>
      <c r="I69" s="50">
        <f>F69*12000</f>
        <v>0</v>
      </c>
    </row>
    <row r="70" spans="1:9" s="184" customFormat="1" ht="16.5" customHeight="1">
      <c r="A70" s="189" t="s">
        <v>6</v>
      </c>
      <c r="B70" s="251">
        <v>15659</v>
      </c>
      <c r="C70" s="251">
        <v>15713</v>
      </c>
      <c r="D70" s="274">
        <f>VLOOKUP(RIGHT(LEFT(A69,11),4),'so nguoi'!$I$8:$N$21,2,0)</f>
        <v>4</v>
      </c>
      <c r="E70" s="61">
        <f>C70-B70</f>
        <v>54</v>
      </c>
      <c r="F70" s="62">
        <f>E70</f>
        <v>54</v>
      </c>
      <c r="G70" s="136">
        <f>F70*$L$2</f>
        <v>156600</v>
      </c>
      <c r="H70" s="137"/>
      <c r="I70" s="50"/>
    </row>
    <row r="71" spans="1:9" s="184" customFormat="1" ht="16.5" customHeight="1">
      <c r="A71" s="187" t="s">
        <v>36</v>
      </c>
      <c r="B71" s="187">
        <v>150</v>
      </c>
      <c r="C71" s="187">
        <v>157</v>
      </c>
      <c r="D71" s="275"/>
      <c r="E71" s="188">
        <f>C71-B71</f>
        <v>7</v>
      </c>
      <c r="F71" s="57">
        <f>E71</f>
        <v>7</v>
      </c>
      <c r="G71" s="135">
        <f>F71*$L$3</f>
        <v>126000</v>
      </c>
      <c r="H71" s="137"/>
      <c r="I71" s="50"/>
    </row>
    <row r="72" spans="1:9" s="184" customFormat="1" ht="16.5" customHeight="1">
      <c r="A72" s="187" t="s">
        <v>37</v>
      </c>
      <c r="B72" s="187">
        <f>B68</f>
        <v>487</v>
      </c>
      <c r="C72" s="187">
        <f>C68</f>
        <v>489</v>
      </c>
      <c r="D72" s="276"/>
      <c r="E72" s="188">
        <f>C72-B72</f>
        <v>2</v>
      </c>
      <c r="F72" s="57">
        <f>$O$8*D70</f>
        <v>0.42105263157894735</v>
      </c>
      <c r="G72" s="135">
        <f>F72*$L$3</f>
        <v>7578.9473684210525</v>
      </c>
      <c r="H72" s="138"/>
      <c r="I72" s="50"/>
    </row>
    <row r="73" spans="1:9" s="185" customFormat="1" ht="24.75" customHeight="1">
      <c r="A73" s="219" t="s">
        <v>283</v>
      </c>
      <c r="B73" s="219"/>
      <c r="C73" s="219"/>
      <c r="D73" s="219"/>
      <c r="E73" s="220"/>
      <c r="F73" s="221"/>
      <c r="G73" s="222"/>
      <c r="H73" s="223">
        <f>SUM(G74:G76)</f>
        <v>71089.473684210519</v>
      </c>
      <c r="I73" s="50">
        <f>F73*12000</f>
        <v>0</v>
      </c>
    </row>
    <row r="74" spans="1:9" s="184" customFormat="1" ht="16.5" customHeight="1">
      <c r="A74" s="189" t="s">
        <v>6</v>
      </c>
      <c r="B74" s="189">
        <v>9871</v>
      </c>
      <c r="C74" s="189">
        <v>9888</v>
      </c>
      <c r="D74" s="274">
        <f>VLOOKUP(RIGHT(LEFT(A73,11),4),'so nguoi'!$I$8:$GI$21,2,0)</f>
        <v>2</v>
      </c>
      <c r="E74" s="61">
        <f>C74-B74</f>
        <v>17</v>
      </c>
      <c r="F74" s="62">
        <f>E74</f>
        <v>17</v>
      </c>
      <c r="G74" s="136">
        <f>F74*$L$2</f>
        <v>49300</v>
      </c>
      <c r="H74" s="137"/>
      <c r="I74" s="50"/>
    </row>
    <row r="75" spans="1:9" s="184" customFormat="1" ht="16.5" customHeight="1">
      <c r="A75" s="187" t="s">
        <v>36</v>
      </c>
      <c r="B75" s="187">
        <v>163</v>
      </c>
      <c r="C75" s="187">
        <v>164</v>
      </c>
      <c r="D75" s="275"/>
      <c r="E75" s="188">
        <f>C75-B75</f>
        <v>1</v>
      </c>
      <c r="F75" s="57">
        <f>E75</f>
        <v>1</v>
      </c>
      <c r="G75" s="135">
        <f>F75*$L$3</f>
        <v>18000</v>
      </c>
      <c r="H75" s="137"/>
      <c r="I75" s="50"/>
    </row>
    <row r="76" spans="1:9" s="184" customFormat="1" ht="16.5" customHeight="1">
      <c r="A76" s="187" t="s">
        <v>37</v>
      </c>
      <c r="B76" s="187">
        <f>B72</f>
        <v>487</v>
      </c>
      <c r="C76" s="187">
        <f>C72</f>
        <v>489</v>
      </c>
      <c r="D76" s="276"/>
      <c r="E76" s="188">
        <f>C76-B76</f>
        <v>2</v>
      </c>
      <c r="F76" s="57">
        <f>$O$8*D74</f>
        <v>0.21052631578947367</v>
      </c>
      <c r="G76" s="135">
        <f>F76*$L$3</f>
        <v>3789.4736842105262</v>
      </c>
      <c r="H76" s="138"/>
      <c r="I76" s="50"/>
    </row>
    <row r="77" spans="1:9" s="185" customFormat="1" ht="24.75" customHeight="1">
      <c r="A77" s="219" t="s">
        <v>284</v>
      </c>
      <c r="B77" s="219"/>
      <c r="C77" s="219"/>
      <c r="D77" s="219"/>
      <c r="E77" s="220"/>
      <c r="F77" s="221"/>
      <c r="G77" s="222"/>
      <c r="H77" s="223">
        <f>SUM(G78:G80)</f>
        <v>69078.947368421053</v>
      </c>
      <c r="I77" s="50">
        <f>F77*12000</f>
        <v>0</v>
      </c>
    </row>
    <row r="78" spans="1:9" s="184" customFormat="1" ht="16.5" customHeight="1">
      <c r="A78" s="189" t="s">
        <v>6</v>
      </c>
      <c r="B78" s="214">
        <v>1764</v>
      </c>
      <c r="C78" s="214">
        <v>1779</v>
      </c>
      <c r="D78" s="274">
        <f>VLOOKUP(RIGHT(LEFT(A77,11),4),'so nguoi'!$I$8:$N$21,2,0)</f>
        <v>4</v>
      </c>
      <c r="E78" s="61">
        <f>C78-B78</f>
        <v>15</v>
      </c>
      <c r="F78" s="62">
        <f>E78</f>
        <v>15</v>
      </c>
      <c r="G78" s="136">
        <f>F78*$L$2</f>
        <v>43500</v>
      </c>
      <c r="H78" s="137"/>
      <c r="I78" s="50"/>
    </row>
    <row r="79" spans="1:9" s="184" customFormat="1" ht="16.5" customHeight="1">
      <c r="A79" s="187" t="s">
        <v>36</v>
      </c>
      <c r="B79" s="187">
        <v>151</v>
      </c>
      <c r="C79" s="187">
        <v>152</v>
      </c>
      <c r="D79" s="275"/>
      <c r="E79" s="188">
        <f>C79-B79</f>
        <v>1</v>
      </c>
      <c r="F79" s="57">
        <f>E79</f>
        <v>1</v>
      </c>
      <c r="G79" s="135">
        <f>F79*$L$3</f>
        <v>18000</v>
      </c>
      <c r="H79" s="137"/>
      <c r="I79" s="50"/>
    </row>
    <row r="80" spans="1:9" s="184" customFormat="1" ht="16.5" customHeight="1">
      <c r="A80" s="187" t="s">
        <v>37</v>
      </c>
      <c r="B80" s="187">
        <f>B76</f>
        <v>487</v>
      </c>
      <c r="C80" s="187">
        <f>C76</f>
        <v>489</v>
      </c>
      <c r="D80" s="276"/>
      <c r="E80" s="188">
        <f>C80-B80</f>
        <v>2</v>
      </c>
      <c r="F80" s="57">
        <f>$O$8*D78</f>
        <v>0.42105263157894735</v>
      </c>
      <c r="G80" s="135">
        <f>F80*$L$3</f>
        <v>7578.9473684210525</v>
      </c>
      <c r="H80" s="138"/>
      <c r="I80" s="50"/>
    </row>
    <row r="81" spans="1:9" s="185" customFormat="1" ht="24.75" customHeight="1">
      <c r="A81" s="219" t="s">
        <v>285</v>
      </c>
      <c r="B81" s="219"/>
      <c r="C81" s="219"/>
      <c r="D81" s="219"/>
      <c r="E81" s="220"/>
      <c r="F81" s="221"/>
      <c r="G81" s="222"/>
      <c r="H81" s="223">
        <f>SUM(G82:G84)</f>
        <v>88973.68421052632</v>
      </c>
      <c r="I81" s="50">
        <f>F81*12000</f>
        <v>0</v>
      </c>
    </row>
    <row r="82" spans="1:9" s="184" customFormat="1" ht="16.5" customHeight="1">
      <c r="A82" s="189" t="s">
        <v>6</v>
      </c>
      <c r="B82" s="189">
        <v>12719</v>
      </c>
      <c r="C82" s="189">
        <v>12734</v>
      </c>
      <c r="D82" s="274">
        <f>VLOOKUP(RIGHT(LEFT(A81,11),4),'so nguoi'!$I$8:$N$21,2,0)</f>
        <v>5</v>
      </c>
      <c r="E82" s="61">
        <f>C82-B82</f>
        <v>15</v>
      </c>
      <c r="F82" s="62">
        <f>E82</f>
        <v>15</v>
      </c>
      <c r="G82" s="136">
        <f>F82*$L$2</f>
        <v>43500</v>
      </c>
      <c r="H82" s="137"/>
      <c r="I82" s="50"/>
    </row>
    <row r="83" spans="1:9" s="184" customFormat="1" ht="16.5" customHeight="1">
      <c r="A83" s="187" t="s">
        <v>36</v>
      </c>
      <c r="B83" s="187">
        <v>87</v>
      </c>
      <c r="C83" s="187">
        <v>89</v>
      </c>
      <c r="D83" s="275"/>
      <c r="E83" s="188">
        <f>C83-B83</f>
        <v>2</v>
      </c>
      <c r="F83" s="57">
        <f>E83</f>
        <v>2</v>
      </c>
      <c r="G83" s="135">
        <f>F83*$L$3</f>
        <v>36000</v>
      </c>
      <c r="H83" s="137"/>
      <c r="I83" s="50"/>
    </row>
    <row r="84" spans="1:9" s="184" customFormat="1" ht="16.5" customHeight="1">
      <c r="A84" s="187" t="s">
        <v>37</v>
      </c>
      <c r="B84" s="187">
        <f>B80</f>
        <v>487</v>
      </c>
      <c r="C84" s="187">
        <f>C80</f>
        <v>489</v>
      </c>
      <c r="D84" s="276"/>
      <c r="E84" s="188">
        <f>C84-B84</f>
        <v>2</v>
      </c>
      <c r="F84" s="57">
        <f>$O$8*D82</f>
        <v>0.52631578947368418</v>
      </c>
      <c r="G84" s="135">
        <f>F84*$L$3</f>
        <v>9473.6842105263149</v>
      </c>
      <c r="H84" s="138"/>
      <c r="I84" s="50"/>
    </row>
    <row r="85" spans="1:9" s="185" customFormat="1" ht="24.75" customHeight="1">
      <c r="A85" s="219" t="s">
        <v>286</v>
      </c>
      <c r="B85" s="219"/>
      <c r="C85" s="219"/>
      <c r="D85" s="219"/>
      <c r="E85" s="220"/>
      <c r="F85" s="221"/>
      <c r="G85" s="222"/>
      <c r="H85" s="223">
        <f>SUM(G86:G88)</f>
        <v>271300</v>
      </c>
      <c r="I85" s="50">
        <f>F85*12000</f>
        <v>0</v>
      </c>
    </row>
    <row r="86" spans="1:9" s="184" customFormat="1" ht="16.5" customHeight="1">
      <c r="A86" s="189" t="s">
        <v>6</v>
      </c>
      <c r="B86" s="189">
        <v>10825</v>
      </c>
      <c r="C86" s="189">
        <v>10872</v>
      </c>
      <c r="D86" s="274">
        <f>VLOOKUP(RIGHT(LEFT(A85,11),4),'so nguoi'!$I$8:$N$21,2,0)</f>
        <v>5</v>
      </c>
      <c r="E86" s="61">
        <f>C86-B86</f>
        <v>47</v>
      </c>
      <c r="F86" s="62">
        <f>E86</f>
        <v>47</v>
      </c>
      <c r="G86" s="136">
        <f>F86*$L$2</f>
        <v>136300</v>
      </c>
      <c r="H86" s="137"/>
      <c r="I86" s="50"/>
    </row>
    <row r="87" spans="1:9" s="184" customFormat="1" ht="16.5" customHeight="1">
      <c r="A87" s="187" t="s">
        <v>36</v>
      </c>
      <c r="B87" s="187">
        <v>229</v>
      </c>
      <c r="C87" s="187">
        <v>234</v>
      </c>
      <c r="D87" s="275"/>
      <c r="E87" s="188">
        <f>C87-B87</f>
        <v>5</v>
      </c>
      <c r="F87" s="57">
        <f>E87</f>
        <v>5</v>
      </c>
      <c r="G87" s="135">
        <f>F87*$L$3</f>
        <v>90000</v>
      </c>
      <c r="H87" s="137"/>
      <c r="I87" s="50"/>
    </row>
    <row r="88" spans="1:9" s="184" customFormat="1" ht="16.5" customHeight="1">
      <c r="A88" s="187" t="s">
        <v>37</v>
      </c>
      <c r="B88" s="187">
        <f>B64</f>
        <v>339</v>
      </c>
      <c r="C88" s="187">
        <f>C64</f>
        <v>349</v>
      </c>
      <c r="D88" s="276"/>
      <c r="E88" s="188">
        <f>C88-B88</f>
        <v>10</v>
      </c>
      <c r="F88" s="57">
        <f>$O$7*D86</f>
        <v>2.5</v>
      </c>
      <c r="G88" s="135">
        <f>F88*$L$3</f>
        <v>45000</v>
      </c>
      <c r="H88" s="138"/>
      <c r="I88" s="50"/>
    </row>
    <row r="89" spans="1:9" s="185" customFormat="1" ht="24.75" customHeight="1">
      <c r="A89" s="219" t="s">
        <v>287</v>
      </c>
      <c r="B89" s="219"/>
      <c r="C89" s="219"/>
      <c r="D89" s="219"/>
      <c r="E89" s="220"/>
      <c r="F89" s="221"/>
      <c r="G89" s="222"/>
      <c r="H89" s="223">
        <f>SUM(G90:G92)</f>
        <v>94000</v>
      </c>
      <c r="I89" s="50">
        <f>F89*12000</f>
        <v>0</v>
      </c>
    </row>
    <row r="90" spans="1:9" s="184" customFormat="1" ht="16.5" customHeight="1">
      <c r="A90" s="189" t="s">
        <v>6</v>
      </c>
      <c r="B90" s="189">
        <v>8958</v>
      </c>
      <c r="C90" s="189">
        <v>8978</v>
      </c>
      <c r="D90" s="274">
        <f>VLOOKUP(RIGHT(LEFT(A89,11),4),'so nguoi'!$I$8:$N$21,2,0)</f>
        <v>2</v>
      </c>
      <c r="E90" s="61">
        <f>C90-B90</f>
        <v>20</v>
      </c>
      <c r="F90" s="62">
        <f>E90</f>
        <v>20</v>
      </c>
      <c r="G90" s="136">
        <f>F90*$L$2</f>
        <v>58000</v>
      </c>
      <c r="H90" s="137"/>
      <c r="I90" s="50"/>
    </row>
    <row r="91" spans="1:9" s="184" customFormat="1" ht="16.5" customHeight="1">
      <c r="A91" s="187" t="s">
        <v>36</v>
      </c>
      <c r="B91" s="187">
        <v>144</v>
      </c>
      <c r="C91" s="187">
        <v>145</v>
      </c>
      <c r="D91" s="275"/>
      <c r="E91" s="188">
        <f>C91-B91</f>
        <v>1</v>
      </c>
      <c r="F91" s="57">
        <f>E91</f>
        <v>1</v>
      </c>
      <c r="G91" s="135">
        <f>F91*$L$3</f>
        <v>18000</v>
      </c>
      <c r="H91" s="137"/>
      <c r="I91" s="50"/>
    </row>
    <row r="92" spans="1:9" s="184" customFormat="1" ht="16.5" customHeight="1">
      <c r="A92" s="187" t="s">
        <v>37</v>
      </c>
      <c r="B92" s="187">
        <f>B88</f>
        <v>339</v>
      </c>
      <c r="C92" s="187">
        <f>C88</f>
        <v>349</v>
      </c>
      <c r="D92" s="276"/>
      <c r="E92" s="188">
        <f>C92-B92</f>
        <v>10</v>
      </c>
      <c r="F92" s="57">
        <f>$O$7*D90</f>
        <v>1</v>
      </c>
      <c r="G92" s="135">
        <f>F92*$L$3</f>
        <v>18000</v>
      </c>
      <c r="H92" s="138"/>
      <c r="I92" s="50"/>
    </row>
    <row r="93" spans="1:9" s="185" customFormat="1" ht="24.75" customHeight="1">
      <c r="A93" s="219" t="s">
        <v>288</v>
      </c>
      <c r="B93" s="219"/>
      <c r="C93" s="219"/>
      <c r="D93" s="219"/>
      <c r="E93" s="220"/>
      <c r="F93" s="221"/>
      <c r="G93" s="222"/>
      <c r="H93" s="223">
        <f>SUM(G94:G96)</f>
        <v>217900</v>
      </c>
      <c r="I93" s="50">
        <f>F93*12000</f>
        <v>0</v>
      </c>
    </row>
    <row r="94" spans="1:9" s="184" customFormat="1" ht="16.5" customHeight="1">
      <c r="A94" s="189" t="s">
        <v>6</v>
      </c>
      <c r="B94" s="214">
        <v>18226</v>
      </c>
      <c r="C94" s="214">
        <v>18267</v>
      </c>
      <c r="D94" s="274">
        <f>VLOOKUP(RIGHT(LEFT(A93,11),4),'so nguoi'!$I$8:$N$21,2,0)</f>
        <v>3</v>
      </c>
      <c r="E94" s="61">
        <f>C94-B94</f>
        <v>41</v>
      </c>
      <c r="F94" s="62">
        <f>E94</f>
        <v>41</v>
      </c>
      <c r="G94" s="136">
        <f>F94*$L$2</f>
        <v>118900</v>
      </c>
      <c r="H94" s="137"/>
      <c r="I94" s="50"/>
    </row>
    <row r="95" spans="1:9" s="184" customFormat="1" ht="16.5" customHeight="1">
      <c r="A95" s="187" t="s">
        <v>36</v>
      </c>
      <c r="B95" s="187">
        <v>236</v>
      </c>
      <c r="C95" s="187">
        <v>240</v>
      </c>
      <c r="D95" s="275"/>
      <c r="E95" s="188">
        <f>C95-B95</f>
        <v>4</v>
      </c>
      <c r="F95" s="57">
        <f>E95</f>
        <v>4</v>
      </c>
      <c r="G95" s="135">
        <f>F95*$L$3</f>
        <v>72000</v>
      </c>
      <c r="H95" s="137"/>
      <c r="I95" s="50"/>
    </row>
    <row r="96" spans="1:9" s="184" customFormat="1" ht="16.5" customHeight="1">
      <c r="A96" s="187" t="s">
        <v>37</v>
      </c>
      <c r="B96" s="187">
        <f>B92</f>
        <v>339</v>
      </c>
      <c r="C96" s="187">
        <f>C92</f>
        <v>349</v>
      </c>
      <c r="D96" s="276"/>
      <c r="E96" s="188">
        <f>C96-B96</f>
        <v>10</v>
      </c>
      <c r="F96" s="57">
        <f>$O$7*D94</f>
        <v>1.5</v>
      </c>
      <c r="G96" s="135">
        <f>F96*$L$3</f>
        <v>27000</v>
      </c>
      <c r="H96" s="138"/>
      <c r="I96" s="50"/>
    </row>
    <row r="97" spans="1:9" s="185" customFormat="1" ht="24.75" customHeight="1">
      <c r="A97" s="219" t="s">
        <v>289</v>
      </c>
      <c r="B97" s="219"/>
      <c r="C97" s="219"/>
      <c r="D97" s="219"/>
      <c r="E97" s="220"/>
      <c r="F97" s="221"/>
      <c r="G97" s="222"/>
      <c r="H97" s="223">
        <f>SUM(G98:G100)</f>
        <v>0</v>
      </c>
      <c r="I97" s="50">
        <f>F97*12000</f>
        <v>0</v>
      </c>
    </row>
    <row r="98" spans="1:9" s="184" customFormat="1" ht="16.5" customHeight="1">
      <c r="A98" s="189" t="s">
        <v>6</v>
      </c>
      <c r="B98" s="189"/>
      <c r="C98" s="189"/>
      <c r="D98" s="274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84" customFormat="1" ht="16.5" customHeight="1">
      <c r="A99" s="187" t="s">
        <v>36</v>
      </c>
      <c r="B99" s="187"/>
      <c r="C99" s="187"/>
      <c r="D99" s="275"/>
      <c r="E99" s="188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84" customFormat="1" ht="16.5" customHeight="1">
      <c r="A100" s="187" t="s">
        <v>37</v>
      </c>
      <c r="B100" s="187"/>
      <c r="C100" s="187"/>
      <c r="D100" s="276"/>
      <c r="E100" s="188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85" customFormat="1" ht="24.75" customHeight="1">
      <c r="A101" s="219" t="s">
        <v>290</v>
      </c>
      <c r="B101" s="219"/>
      <c r="C101" s="219"/>
      <c r="D101" s="219"/>
      <c r="E101" s="220"/>
      <c r="F101" s="221"/>
      <c r="G101" s="222"/>
      <c r="H101" s="223">
        <f>SUM(G102:G104)</f>
        <v>0</v>
      </c>
      <c r="I101" s="50">
        <f>F101*12000</f>
        <v>0</v>
      </c>
    </row>
    <row r="102" spans="1:9" s="184" customFormat="1" ht="16.5" customHeight="1">
      <c r="A102" s="189" t="s">
        <v>6</v>
      </c>
      <c r="B102" s="189"/>
      <c r="C102" s="189"/>
      <c r="D102" s="274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84" customFormat="1" ht="16.5" customHeight="1">
      <c r="A103" s="187" t="s">
        <v>36</v>
      </c>
      <c r="B103" s="187"/>
      <c r="C103" s="187"/>
      <c r="D103" s="275"/>
      <c r="E103" s="188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84" customFormat="1" ht="16.5" customHeight="1">
      <c r="A104" s="187" t="s">
        <v>37</v>
      </c>
      <c r="B104" s="187"/>
      <c r="C104" s="187"/>
      <c r="D104" s="276"/>
      <c r="E104" s="188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>
      <c r="A105" s="219" t="s">
        <v>291</v>
      </c>
      <c r="B105" s="219"/>
      <c r="C105" s="219"/>
      <c r="D105" s="219"/>
      <c r="E105" s="220"/>
      <c r="F105" s="221"/>
      <c r="G105" s="222"/>
      <c r="H105" s="223">
        <f>SUM(G106:G108)</f>
        <v>0</v>
      </c>
    </row>
    <row r="106" spans="1:9" ht="16.5">
      <c r="A106" s="189" t="s">
        <v>6</v>
      </c>
      <c r="B106" s="189"/>
      <c r="C106" s="189"/>
      <c r="D106" s="274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>
      <c r="A107" s="187" t="s">
        <v>36</v>
      </c>
      <c r="B107" s="187"/>
      <c r="C107" s="187"/>
      <c r="D107" s="275"/>
      <c r="E107" s="188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>
      <c r="A108" s="187" t="s">
        <v>37</v>
      </c>
      <c r="B108" s="187"/>
      <c r="C108" s="187"/>
      <c r="D108" s="276"/>
      <c r="E108" s="188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>
      <c r="A109" s="219" t="s">
        <v>292</v>
      </c>
      <c r="B109" s="219"/>
      <c r="C109" s="219"/>
      <c r="D109" s="219"/>
      <c r="E109" s="220"/>
      <c r="F109" s="221"/>
      <c r="G109" s="222"/>
      <c r="H109" s="223">
        <f>SUM(G110:G112)</f>
        <v>0</v>
      </c>
    </row>
    <row r="110" spans="1:9" ht="16.5">
      <c r="A110" s="189" t="s">
        <v>6</v>
      </c>
      <c r="B110" s="189"/>
      <c r="C110" s="189"/>
      <c r="D110" s="274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>
      <c r="A111" s="187" t="s">
        <v>36</v>
      </c>
      <c r="B111" s="187"/>
      <c r="C111" s="187"/>
      <c r="D111" s="275"/>
      <c r="E111" s="188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>
      <c r="A112" s="187" t="s">
        <v>37</v>
      </c>
      <c r="B112" s="187"/>
      <c r="C112" s="187"/>
      <c r="D112" s="276"/>
      <c r="E112" s="188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>
      <c r="A113" s="219" t="s">
        <v>293</v>
      </c>
      <c r="B113" s="219"/>
      <c r="C113" s="219"/>
      <c r="D113" s="219"/>
      <c r="E113" s="220"/>
      <c r="F113" s="221"/>
      <c r="G113" s="222"/>
      <c r="H113" s="223">
        <f>SUM(G114:G116)</f>
        <v>0</v>
      </c>
    </row>
    <row r="114" spans="1:8" ht="16.5">
      <c r="A114" s="189" t="s">
        <v>6</v>
      </c>
      <c r="B114" s="189"/>
      <c r="C114" s="189"/>
      <c r="D114" s="274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>
      <c r="A115" s="187" t="s">
        <v>36</v>
      </c>
      <c r="B115" s="187"/>
      <c r="C115" s="187"/>
      <c r="D115" s="275"/>
      <c r="E115" s="188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>
      <c r="A116" s="187" t="s">
        <v>37</v>
      </c>
      <c r="B116" s="187"/>
      <c r="C116" s="187"/>
      <c r="D116" s="276"/>
      <c r="E116" s="188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>
      <c r="A117" s="219" t="s">
        <v>294</v>
      </c>
      <c r="B117" s="219"/>
      <c r="C117" s="219"/>
      <c r="D117" s="219"/>
      <c r="E117" s="220"/>
      <c r="F117" s="221"/>
      <c r="G117" s="222"/>
      <c r="H117" s="223">
        <f>SUM(G118:G120)</f>
        <v>274100</v>
      </c>
    </row>
    <row r="118" spans="1:8" ht="16.5">
      <c r="A118" s="189" t="s">
        <v>6</v>
      </c>
      <c r="B118" s="189">
        <v>12693</v>
      </c>
      <c r="C118" s="189">
        <v>12754</v>
      </c>
      <c r="D118" s="274">
        <f>VLOOKUP(RIGHT(LEFT(A117,11),4),'so nguoi'!$K$8:$N$21,2,0)</f>
        <v>4</v>
      </c>
      <c r="E118" s="61">
        <f>C118-B118</f>
        <v>61</v>
      </c>
      <c r="F118" s="62">
        <f>E118</f>
        <v>61</v>
      </c>
      <c r="G118" s="136">
        <f>F118*$L$2</f>
        <v>176900</v>
      </c>
      <c r="H118" s="137"/>
    </row>
    <row r="119" spans="1:8" ht="16.5">
      <c r="A119" s="187" t="s">
        <v>36</v>
      </c>
      <c r="B119" s="187">
        <v>100</v>
      </c>
      <c r="C119" s="187">
        <v>103</v>
      </c>
      <c r="D119" s="275"/>
      <c r="E119" s="188">
        <f>C119-B119</f>
        <v>3</v>
      </c>
      <c r="F119" s="57">
        <f>E119</f>
        <v>3</v>
      </c>
      <c r="G119" s="135">
        <f>F119*$L$3</f>
        <v>54000</v>
      </c>
      <c r="H119" s="137"/>
    </row>
    <row r="120" spans="1:8" ht="16.5">
      <c r="A120" s="187" t="s">
        <v>37</v>
      </c>
      <c r="B120" s="215">
        <v>1285</v>
      </c>
      <c r="C120" s="215">
        <v>1291</v>
      </c>
      <c r="D120" s="276"/>
      <c r="E120" s="188">
        <f>C120-B120</f>
        <v>6</v>
      </c>
      <c r="F120" s="57">
        <f>$O$9*D118</f>
        <v>2.4</v>
      </c>
      <c r="G120" s="135">
        <f>F120*$L$3</f>
        <v>43200</v>
      </c>
      <c r="H120" s="138"/>
    </row>
    <row r="121" spans="1:8" ht="17.25">
      <c r="A121" s="219" t="s">
        <v>295</v>
      </c>
      <c r="B121" s="219"/>
      <c r="C121" s="219"/>
      <c r="D121" s="219"/>
      <c r="E121" s="220"/>
      <c r="F121" s="221"/>
      <c r="G121" s="222"/>
      <c r="H121" s="223">
        <f>SUM(G122:G124)</f>
        <v>432100</v>
      </c>
    </row>
    <row r="122" spans="1:8" ht="16.5">
      <c r="A122" s="189" t="s">
        <v>6</v>
      </c>
      <c r="B122" s="189">
        <v>1606</v>
      </c>
      <c r="C122" s="189">
        <v>1683</v>
      </c>
      <c r="D122" s="274">
        <f>VLOOKUP(RIGHT(LEFT(A121,11),4),'so nguoi'!$K$8:$N$21,2,0)</f>
        <v>6</v>
      </c>
      <c r="E122" s="61">
        <f>C122-B122</f>
        <v>77</v>
      </c>
      <c r="F122" s="62">
        <f>E122</f>
        <v>77</v>
      </c>
      <c r="G122" s="136">
        <f>F122*$L$2</f>
        <v>223300</v>
      </c>
      <c r="H122" s="137"/>
    </row>
    <row r="123" spans="1:8" ht="16.5">
      <c r="A123" s="187" t="s">
        <v>36</v>
      </c>
      <c r="B123" s="187">
        <v>156</v>
      </c>
      <c r="C123" s="187">
        <v>164</v>
      </c>
      <c r="D123" s="275"/>
      <c r="E123" s="188">
        <f>C123-B123</f>
        <v>8</v>
      </c>
      <c r="F123" s="57">
        <f>E123</f>
        <v>8</v>
      </c>
      <c r="G123" s="135">
        <f>F123*$L$3</f>
        <v>144000</v>
      </c>
      <c r="H123" s="137"/>
    </row>
    <row r="124" spans="1:8" ht="16.5">
      <c r="A124" s="187" t="s">
        <v>37</v>
      </c>
      <c r="B124" s="187">
        <f>B120</f>
        <v>1285</v>
      </c>
      <c r="C124" s="187">
        <f>C120</f>
        <v>1291</v>
      </c>
      <c r="D124" s="276"/>
      <c r="E124" s="188">
        <f>C124-B124</f>
        <v>6</v>
      </c>
      <c r="F124" s="57">
        <f>$O$9*D122</f>
        <v>3.5999999999999996</v>
      </c>
      <c r="G124" s="135">
        <f>F124*$L$3</f>
        <v>64799.999999999993</v>
      </c>
      <c r="H124" s="138"/>
    </row>
    <row r="125" spans="1:8" ht="17.25">
      <c r="A125" s="219" t="s">
        <v>296</v>
      </c>
      <c r="B125" s="219"/>
      <c r="C125" s="219"/>
      <c r="D125" s="219"/>
      <c r="E125" s="220"/>
      <c r="F125" s="221"/>
      <c r="G125" s="222"/>
      <c r="H125" s="223">
        <f>SUM(G126:G128)</f>
        <v>0</v>
      </c>
    </row>
    <row r="126" spans="1:8" ht="16.5">
      <c r="A126" s="189" t="s">
        <v>6</v>
      </c>
      <c r="B126" s="189"/>
      <c r="C126" s="189"/>
      <c r="D126" s="274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>
      <c r="A127" s="187" t="s">
        <v>36</v>
      </c>
      <c r="B127" s="187"/>
      <c r="C127" s="187"/>
      <c r="D127" s="275"/>
      <c r="E127" s="188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>
      <c r="A128" s="187" t="s">
        <v>37</v>
      </c>
      <c r="B128" s="187"/>
      <c r="C128" s="187"/>
      <c r="D128" s="276"/>
      <c r="E128" s="188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>
      <c r="A129" s="219" t="s">
        <v>297</v>
      </c>
      <c r="B129" s="219"/>
      <c r="C129" s="219"/>
      <c r="D129" s="219"/>
      <c r="E129" s="220"/>
      <c r="F129" s="221"/>
      <c r="G129" s="222"/>
      <c r="H129" s="223">
        <f>SUM(G130:G132)</f>
        <v>0</v>
      </c>
    </row>
    <row r="130" spans="1:11" ht="16.5">
      <c r="A130" s="189" t="s">
        <v>6</v>
      </c>
      <c r="B130" s="189"/>
      <c r="C130" s="189"/>
      <c r="D130" s="274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>
      <c r="A131" s="187" t="s">
        <v>36</v>
      </c>
      <c r="B131" s="187"/>
      <c r="C131" s="187"/>
      <c r="D131" s="275"/>
      <c r="E131" s="188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>
      <c r="A132" s="187" t="s">
        <v>37</v>
      </c>
      <c r="B132" s="187"/>
      <c r="C132" s="187"/>
      <c r="D132" s="276"/>
      <c r="E132" s="188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>
      <c r="A133" s="219" t="s">
        <v>298</v>
      </c>
      <c r="B133" s="219"/>
      <c r="C133" s="219"/>
      <c r="D133" s="219"/>
      <c r="E133" s="220"/>
      <c r="F133" s="221"/>
      <c r="G133" s="222"/>
      <c r="H133" s="223">
        <f>SUM(G134:G136)</f>
        <v>0</v>
      </c>
    </row>
    <row r="134" spans="1:11" ht="16.5">
      <c r="A134" s="189" t="s">
        <v>6</v>
      </c>
      <c r="B134" s="189"/>
      <c r="C134" s="189"/>
      <c r="D134" s="274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>
      <c r="A135" s="187" t="s">
        <v>36</v>
      </c>
      <c r="B135" s="187"/>
      <c r="C135" s="187"/>
      <c r="D135" s="275"/>
      <c r="E135" s="188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>
      <c r="A136" s="187" t="s">
        <v>37</v>
      </c>
      <c r="B136" s="187"/>
      <c r="C136" s="187"/>
      <c r="D136" s="276"/>
      <c r="E136" s="188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>
      <c r="A137" s="219" t="s">
        <v>299</v>
      </c>
      <c r="B137" s="219"/>
      <c r="C137" s="219"/>
      <c r="D137" s="219"/>
      <c r="E137" s="220"/>
      <c r="F137" s="221"/>
      <c r="G137" s="222"/>
      <c r="H137" s="223">
        <f>SUM(G138:G140)</f>
        <v>0</v>
      </c>
    </row>
    <row r="138" spans="1:11" ht="16.5">
      <c r="A138" s="189" t="s">
        <v>6</v>
      </c>
      <c r="B138" s="189"/>
      <c r="C138" s="189"/>
      <c r="D138" s="274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>
      <c r="A139" s="187" t="s">
        <v>36</v>
      </c>
      <c r="B139" s="187"/>
      <c r="C139" s="187"/>
      <c r="D139" s="275"/>
      <c r="E139" s="188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>
      <c r="A140" s="187" t="s">
        <v>37</v>
      </c>
      <c r="B140" s="187"/>
      <c r="C140" s="187"/>
      <c r="D140" s="276"/>
      <c r="E140" s="188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84" customFormat="1" ht="23.25" customHeight="1">
      <c r="A141" s="267" t="s">
        <v>13</v>
      </c>
      <c r="B141" s="268"/>
      <c r="C141" s="268"/>
      <c r="D141" s="268"/>
      <c r="E141" s="268"/>
      <c r="F141" s="269"/>
      <c r="G141" s="73">
        <f ca="1">SUMIF($A$8:$F$140,"Điện",G8:G140)</f>
        <v>3865700</v>
      </c>
      <c r="H141" s="73">
        <f ca="1">SUMIF($A$8:$F$140,"Điện",F8:F140)</f>
        <v>1333</v>
      </c>
      <c r="I141" s="50" t="e">
        <f>#REF!-H142</f>
        <v>#REF!</v>
      </c>
    </row>
    <row r="142" spans="1:11" s="184" customFormat="1" ht="23.25" customHeight="1">
      <c r="A142" s="267" t="s">
        <v>14</v>
      </c>
      <c r="B142" s="268"/>
      <c r="C142" s="268"/>
      <c r="D142" s="268"/>
      <c r="E142" s="268"/>
      <c r="F142" s="269"/>
      <c r="G142" s="73">
        <f ca="1">SUMIF($A$8:$F$140,"Nước nhà tắm",G8:G140)+SUMIF($A$8:$F$140,"Nước Nhà VS",G8:G140)</f>
        <v>3348000</v>
      </c>
      <c r="H142" s="103">
        <f>SUMIF($A$8:$A$140,"Nước nhà tắm",F8:F140)+SUMIF($A$8:$A$140,"Nước Nhà VS",F8:F140)</f>
        <v>186</v>
      </c>
      <c r="I142" s="104">
        <f>H142*15000</f>
        <v>2790000</v>
      </c>
      <c r="J142" s="106">
        <f ca="1">I142-G142</f>
        <v>-558000</v>
      </c>
      <c r="K142" s="25">
        <f ca="1">G142/15000</f>
        <v>223.2</v>
      </c>
    </row>
    <row r="143" spans="1:11" s="184" customFormat="1" ht="23.25" customHeight="1">
      <c r="A143" s="267" t="s">
        <v>15</v>
      </c>
      <c r="B143" s="268"/>
      <c r="C143" s="268"/>
      <c r="D143" s="268"/>
      <c r="E143" s="268"/>
      <c r="F143" s="269"/>
      <c r="G143" s="73">
        <f ca="1">SUM(G141:G142)</f>
        <v>7213700</v>
      </c>
      <c r="H143" s="74"/>
      <c r="I143" s="50"/>
      <c r="J143" s="25"/>
    </row>
    <row r="144" spans="1:11">
      <c r="B144" s="246"/>
      <c r="C144" s="246"/>
    </row>
    <row r="145" spans="2:3">
      <c r="B145" s="190"/>
      <c r="C145" s="190"/>
    </row>
    <row r="146" spans="2:3">
      <c r="B146"/>
      <c r="C146"/>
    </row>
    <row r="147" spans="2:3">
      <c r="B147" s="190"/>
      <c r="C147" s="190"/>
    </row>
    <row r="148" spans="2:3">
      <c r="B148" s="190"/>
      <c r="C148" s="190"/>
    </row>
    <row r="149" spans="2:3">
      <c r="B149" s="190"/>
      <c r="C149" s="190"/>
    </row>
    <row r="150" spans="2:3">
      <c r="B150"/>
      <c r="C150"/>
    </row>
  </sheetData>
  <mergeCells count="39"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  <mergeCell ref="D50:D52"/>
    <mergeCell ref="D54:D56"/>
    <mergeCell ref="D58:D60"/>
    <mergeCell ref="D62:D64"/>
    <mergeCell ref="D66:D68"/>
    <mergeCell ref="D70:D72"/>
    <mergeCell ref="D74:D76"/>
    <mergeCell ref="D78:D80"/>
    <mergeCell ref="D82:D84"/>
    <mergeCell ref="D86:D88"/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</mergeCells>
  <pageMargins left="0.22" right="0.18" top="0.33" bottom="0.21" header="0.17" footer="0.3"/>
  <pageSetup paperSize="9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topLeftCell="A82" zoomScaleNormal="100" zoomScaleSheetLayoutView="100" workbookViewId="0">
      <selection activeCell="I1" sqref="I1:AD1048576"/>
    </sheetView>
  </sheetViews>
  <sheetFormatPr defaultRowHeight="15"/>
  <cols>
    <col min="1" max="1" width="15.140625" customWidth="1"/>
    <col min="2" max="2" width="8.28515625" customWidth="1"/>
    <col min="3" max="3" width="8.7109375" customWidth="1"/>
    <col min="4" max="4" width="7.140625" style="4" hidden="1" customWidth="1"/>
    <col min="5" max="5" width="7.570312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hidden="1" customWidth="1"/>
    <col min="10" max="10" width="14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6.85546875" hidden="1" customWidth="1"/>
    <col min="16" max="30" width="0" hidden="1" customWidth="1"/>
  </cols>
  <sheetData>
    <row r="1" spans="1:15" ht="15.75">
      <c r="A1" s="122" t="s">
        <v>190</v>
      </c>
      <c r="B1" s="122"/>
      <c r="C1" s="122"/>
      <c r="D1" s="122"/>
      <c r="E1" s="122"/>
      <c r="F1" s="122"/>
      <c r="G1" s="122"/>
      <c r="H1" s="122"/>
      <c r="K1" t="s">
        <v>148</v>
      </c>
      <c r="L1" s="30" t="s">
        <v>309</v>
      </c>
    </row>
    <row r="2" spans="1:15" ht="15.75">
      <c r="A2" s="277" t="s">
        <v>191</v>
      </c>
      <c r="B2" s="277"/>
      <c r="C2" s="277"/>
      <c r="D2" s="277"/>
      <c r="E2" s="277"/>
      <c r="F2" s="277"/>
      <c r="G2" s="277"/>
      <c r="H2" s="277"/>
      <c r="K2" t="s">
        <v>9</v>
      </c>
      <c r="L2">
        <v>2900</v>
      </c>
    </row>
    <row r="3" spans="1:1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62" t="str">
        <f>"BẢNG TỔNG HỢP ĐIỆN - NƯỚC SINH HOẠT KÝ TÚC XÁ KHU K " &amp; L1</f>
        <v>BẢNG TỔNG HỢP ĐIỆN - NƯỚC SINH HOẠT KÝ TÚC XÁ KHU K THÁNG 12/2020</v>
      </c>
      <c r="B4" s="262"/>
      <c r="C4" s="262"/>
      <c r="D4" s="262"/>
      <c r="E4" s="262"/>
      <c r="F4" s="262"/>
      <c r="G4" s="262"/>
      <c r="H4" s="262"/>
      <c r="J4" t="s">
        <v>61</v>
      </c>
      <c r="K4" t="s">
        <v>147</v>
      </c>
      <c r="L4" t="s">
        <v>59</v>
      </c>
      <c r="M4" t="s">
        <v>60</v>
      </c>
      <c r="N4" t="s">
        <v>145</v>
      </c>
      <c r="O4" t="s">
        <v>146</v>
      </c>
    </row>
    <row r="5" spans="1:15" ht="16.5">
      <c r="A5" s="278" t="s">
        <v>216</v>
      </c>
      <c r="B5" s="278"/>
      <c r="C5" s="278"/>
      <c r="D5" s="278"/>
      <c r="E5" s="278"/>
      <c r="F5" s="278"/>
      <c r="G5" s="278"/>
      <c r="H5" s="278"/>
      <c r="J5" s="63" t="s">
        <v>58</v>
      </c>
      <c r="K5" s="184">
        <v>308</v>
      </c>
      <c r="L5" s="184">
        <v>315</v>
      </c>
      <c r="M5">
        <f>L5-K5</f>
        <v>7</v>
      </c>
      <c r="N5" s="72">
        <f>SUM('so nguoi'!H8:H13)</f>
        <v>42</v>
      </c>
      <c r="O5">
        <f>M5/N5</f>
        <v>0.16666666666666666</v>
      </c>
    </row>
    <row r="6" spans="1:15" ht="18" customHeight="1">
      <c r="A6" s="75"/>
      <c r="B6" s="75"/>
      <c r="C6" s="75"/>
      <c r="D6" s="77"/>
      <c r="E6" s="78"/>
      <c r="G6" s="114" t="s">
        <v>300</v>
      </c>
      <c r="H6" s="114"/>
      <c r="I6" s="108"/>
      <c r="J6" t="s">
        <v>62</v>
      </c>
      <c r="K6" s="184">
        <v>126</v>
      </c>
      <c r="L6" s="184">
        <v>144</v>
      </c>
      <c r="M6">
        <f t="shared" ref="M6:M8" si="0">L6-K6</f>
        <v>18</v>
      </c>
      <c r="N6" s="72">
        <f>SUM('so nguoi'!H14:H18)</f>
        <v>29</v>
      </c>
      <c r="O6">
        <f t="shared" ref="O6:O8" si="1">M6/N6</f>
        <v>0.62068965517241381</v>
      </c>
    </row>
    <row r="7" spans="1:15" ht="18.75" customHeight="1">
      <c r="A7" s="75"/>
      <c r="B7" s="75"/>
      <c r="C7" s="75"/>
      <c r="D7" s="77"/>
      <c r="E7" s="78"/>
      <c r="G7" s="123" t="s">
        <v>302</v>
      </c>
      <c r="H7" s="114"/>
      <c r="I7" s="108"/>
      <c r="J7" t="s">
        <v>63</v>
      </c>
      <c r="K7" s="184">
        <v>250</v>
      </c>
      <c r="L7" s="184">
        <v>250</v>
      </c>
      <c r="M7">
        <f t="shared" si="0"/>
        <v>0</v>
      </c>
      <c r="N7">
        <f>SUM('so nguoi'!J8:J13)</f>
        <v>20</v>
      </c>
      <c r="O7">
        <f t="shared" si="1"/>
        <v>0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64</v>
      </c>
      <c r="K8" s="184">
        <v>295</v>
      </c>
      <c r="L8" s="184">
        <v>862</v>
      </c>
      <c r="M8">
        <f t="shared" si="0"/>
        <v>567</v>
      </c>
      <c r="N8">
        <f>SUM('so nguoi'!J14:J18)</f>
        <v>19</v>
      </c>
      <c r="O8">
        <f t="shared" si="1"/>
        <v>29.842105263157894</v>
      </c>
    </row>
    <row r="9" spans="1:15" s="2" customFormat="1" ht="24.4" customHeight="1">
      <c r="A9" s="124" t="s">
        <v>42</v>
      </c>
      <c r="B9" s="124"/>
      <c r="C9" s="124"/>
      <c r="D9" s="124"/>
      <c r="E9" s="125"/>
      <c r="F9" s="126"/>
      <c r="G9" s="128"/>
      <c r="H9" s="131">
        <f>SUM(G10:G12)</f>
        <v>3553631.5789473685</v>
      </c>
      <c r="I9" s="53">
        <f>F9*12000</f>
        <v>0</v>
      </c>
      <c r="J9" s="2" t="s">
        <v>65</v>
      </c>
      <c r="K9" s="185">
        <v>1335</v>
      </c>
      <c r="L9" s="185">
        <v>1526</v>
      </c>
      <c r="M9" s="2">
        <f t="shared" ref="M9:M10" si="2">L9-K9</f>
        <v>191</v>
      </c>
      <c r="N9" s="2">
        <f>SUM('so nguoi'!L8:L13)</f>
        <v>4</v>
      </c>
      <c r="O9" s="2">
        <f t="shared" ref="O9:O10" si="3">M9/N9</f>
        <v>47.75</v>
      </c>
    </row>
    <row r="10" spans="1:15" ht="16.5" customHeight="1">
      <c r="A10" s="5" t="s">
        <v>6</v>
      </c>
      <c r="B10" s="224">
        <v>3313</v>
      </c>
      <c r="C10" s="189">
        <v>3723</v>
      </c>
      <c r="D10" s="283">
        <f>VLOOKUP(RIGHT(LEFT(A9,11),4),'so nguoi'!$I$8:$N$21,2,0)</f>
        <v>4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66</v>
      </c>
      <c r="K10" s="184">
        <v>834</v>
      </c>
      <c r="L10" s="184">
        <v>906</v>
      </c>
      <c r="M10">
        <f t="shared" si="2"/>
        <v>72</v>
      </c>
      <c r="N10">
        <f>SUM('so nguoi'!L14:L18)</f>
        <v>6</v>
      </c>
      <c r="O10">
        <f t="shared" si="3"/>
        <v>12</v>
      </c>
    </row>
    <row r="11" spans="1:15" ht="16.5" customHeight="1">
      <c r="A11" s="7" t="s">
        <v>36</v>
      </c>
      <c r="B11" s="225">
        <v>92</v>
      </c>
      <c r="C11" s="187">
        <v>104</v>
      </c>
      <c r="D11" s="284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>
      <c r="A12" s="7" t="s">
        <v>37</v>
      </c>
      <c r="B12" s="7">
        <f>K$8</f>
        <v>295</v>
      </c>
      <c r="C12" s="225">
        <f>L$8</f>
        <v>862</v>
      </c>
      <c r="D12" s="285"/>
      <c r="E12" s="8">
        <f>C12-B12</f>
        <v>567</v>
      </c>
      <c r="F12" s="18">
        <f>$O$8*D10</f>
        <v>119.36842105263158</v>
      </c>
      <c r="G12" s="130">
        <f>F12*$L$3</f>
        <v>2148631.5789473685</v>
      </c>
      <c r="H12" s="133"/>
    </row>
    <row r="13" spans="1:15" s="2" customFormat="1" ht="24.4" customHeight="1">
      <c r="A13" s="124" t="s">
        <v>43</v>
      </c>
      <c r="B13" s="124"/>
      <c r="C13" s="124"/>
      <c r="D13" s="124"/>
      <c r="E13" s="125"/>
      <c r="F13" s="126"/>
      <c r="G13" s="128"/>
      <c r="H13" s="131">
        <f>SUM(G14:G16)</f>
        <v>3173789.4736842108</v>
      </c>
      <c r="I13" s="53">
        <f>F13*12000</f>
        <v>0</v>
      </c>
    </row>
    <row r="14" spans="1:15" ht="16.5" customHeight="1">
      <c r="A14" s="5" t="s">
        <v>6</v>
      </c>
      <c r="B14" s="224">
        <v>12465</v>
      </c>
      <c r="C14" s="189">
        <v>12565</v>
      </c>
      <c r="D14" s="283">
        <f>VLOOKUP(RIGHT(LEFT(A13,11),4),'so nguoi'!$I$8:$N$21,2,0)</f>
        <v>5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>
      <c r="A15" s="7" t="s">
        <v>36</v>
      </c>
      <c r="B15" s="225">
        <v>110</v>
      </c>
      <c r="C15" s="7">
        <v>121</v>
      </c>
      <c r="D15" s="284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>
      <c r="A16" s="7" t="s">
        <v>37</v>
      </c>
      <c r="B16" s="7">
        <f>K$8</f>
        <v>295</v>
      </c>
      <c r="C16" s="7">
        <f>L$8</f>
        <v>862</v>
      </c>
      <c r="D16" s="285"/>
      <c r="E16" s="8">
        <f>C16-B16</f>
        <v>567</v>
      </c>
      <c r="F16" s="18">
        <f>$O$8*D14</f>
        <v>149.21052631578948</v>
      </c>
      <c r="G16" s="130">
        <f>F16*$L$3</f>
        <v>2685789.4736842108</v>
      </c>
      <c r="H16" s="133"/>
    </row>
    <row r="17" spans="1:9" s="2" customFormat="1" ht="24.4" customHeight="1">
      <c r="A17" s="124" t="s">
        <v>44</v>
      </c>
      <c r="B17" s="124"/>
      <c r="C17" s="124"/>
      <c r="D17" s="124"/>
      <c r="E17" s="125"/>
      <c r="F17" s="126"/>
      <c r="G17" s="128"/>
      <c r="H17" s="131">
        <f>SUM(G18:G20)</f>
        <v>3307289.4736842108</v>
      </c>
      <c r="I17" s="53"/>
    </row>
    <row r="18" spans="1:9" ht="16.5" customHeight="1">
      <c r="A18" s="5" t="s">
        <v>6</v>
      </c>
      <c r="B18" s="189">
        <v>10532</v>
      </c>
      <c r="C18" s="189">
        <v>10647</v>
      </c>
      <c r="D18" s="280">
        <f>VLOOKUP(RIGHT(LEFT(A17,11),4),'so nguoi'!$I$8:$N$21,2,0)</f>
        <v>5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>
      <c r="A19" s="7" t="s">
        <v>36</v>
      </c>
      <c r="B19" s="7">
        <v>117</v>
      </c>
      <c r="C19" s="7">
        <v>133</v>
      </c>
      <c r="D19" s="281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>
      <c r="A20" s="7" t="s">
        <v>37</v>
      </c>
      <c r="B20" s="7">
        <f>K$8</f>
        <v>295</v>
      </c>
      <c r="C20" s="7">
        <f>L$8</f>
        <v>862</v>
      </c>
      <c r="D20" s="282"/>
      <c r="E20" s="8">
        <f>C20-B20</f>
        <v>567</v>
      </c>
      <c r="F20" s="18">
        <f>$O$8*D18</f>
        <v>149.21052631578948</v>
      </c>
      <c r="G20" s="130">
        <f>F20*$L$3</f>
        <v>2685789.4736842108</v>
      </c>
      <c r="H20" s="133"/>
    </row>
    <row r="21" spans="1:9" s="2" customFormat="1" ht="24.4" customHeight="1">
      <c r="A21" s="124" t="s">
        <v>45</v>
      </c>
      <c r="B21" s="124"/>
      <c r="C21" s="124"/>
      <c r="D21" s="124"/>
      <c r="E21" s="125"/>
      <c r="F21" s="126"/>
      <c r="G21" s="128"/>
      <c r="H21" s="131">
        <f>SUM(G22:G24)</f>
        <v>1233915.7894736843</v>
      </c>
      <c r="I21" s="53">
        <f>F21*12000</f>
        <v>0</v>
      </c>
    </row>
    <row r="22" spans="1:9" ht="16.5" customHeight="1">
      <c r="A22" s="5" t="s">
        <v>6</v>
      </c>
      <c r="B22" s="186">
        <v>8765</v>
      </c>
      <c r="C22" s="5">
        <v>8789</v>
      </c>
      <c r="D22" s="280">
        <f>VLOOKUP(RIGHT(LEFT(A21,11),4),'so nguoi'!$I$8:$N$21,2,0)</f>
        <v>2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>
      <c r="A23" s="7" t="s">
        <v>36</v>
      </c>
      <c r="B23" s="7">
        <v>139</v>
      </c>
      <c r="C23" s="7">
        <v>144</v>
      </c>
      <c r="D23" s="281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>
      <c r="A24" s="7" t="s">
        <v>37</v>
      </c>
      <c r="B24" s="7">
        <f>K$8</f>
        <v>295</v>
      </c>
      <c r="C24" s="7">
        <f>L$8</f>
        <v>862</v>
      </c>
      <c r="D24" s="282"/>
      <c r="E24" s="8">
        <f>C24-B24</f>
        <v>567</v>
      </c>
      <c r="F24" s="18">
        <f>$O$8*D22</f>
        <v>59.684210526315788</v>
      </c>
      <c r="G24" s="129">
        <f>F24*$L$3</f>
        <v>1074315.7894736843</v>
      </c>
      <c r="H24" s="133"/>
    </row>
    <row r="25" spans="1:9" s="2" customFormat="1" ht="24.75" customHeight="1">
      <c r="A25" s="219" t="s">
        <v>46</v>
      </c>
      <c r="B25" s="219"/>
      <c r="C25" s="219"/>
      <c r="D25" s="219"/>
      <c r="E25" s="220"/>
      <c r="F25" s="221"/>
      <c r="G25" s="222"/>
      <c r="H25" s="223">
        <f>SUM(G26:G28)</f>
        <v>1973573.6842105263</v>
      </c>
      <c r="I25" s="50">
        <f>F25*12000</f>
        <v>0</v>
      </c>
    </row>
    <row r="26" spans="1:9" ht="16.5" customHeight="1">
      <c r="A26" s="189" t="s">
        <v>6</v>
      </c>
      <c r="B26" s="189">
        <v>17890</v>
      </c>
      <c r="C26" s="224">
        <v>17959</v>
      </c>
      <c r="D26" s="274">
        <f>'so nguoi'!J18</f>
        <v>3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>
      <c r="A27" s="187" t="s">
        <v>36</v>
      </c>
      <c r="B27" s="187">
        <v>55</v>
      </c>
      <c r="C27" s="225">
        <v>64</v>
      </c>
      <c r="D27" s="275"/>
      <c r="E27" s="188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>
      <c r="A28" s="187" t="s">
        <v>37</v>
      </c>
      <c r="B28" s="187">
        <f>K$8</f>
        <v>295</v>
      </c>
      <c r="C28" s="187">
        <f>L$8</f>
        <v>862</v>
      </c>
      <c r="D28" s="276"/>
      <c r="E28" s="188">
        <f>C28-B28</f>
        <v>567</v>
      </c>
      <c r="F28" s="57">
        <f>$O$8*D26</f>
        <v>89.526315789473685</v>
      </c>
      <c r="G28" s="135">
        <f>F28*$L$3</f>
        <v>1611473.6842105263</v>
      </c>
      <c r="H28" s="138"/>
    </row>
    <row r="29" spans="1:9" s="2" customFormat="1" ht="24.4" customHeight="1">
      <c r="A29" s="159" t="s">
        <v>47</v>
      </c>
      <c r="B29" s="159"/>
      <c r="C29" s="159"/>
      <c r="D29" s="159"/>
      <c r="E29" s="216"/>
      <c r="F29" s="217"/>
      <c r="G29" s="218"/>
      <c r="H29" s="202">
        <f>SUM(G30:G32)</f>
        <v>431600</v>
      </c>
      <c r="I29" s="53">
        <f>F29*12000</f>
        <v>0</v>
      </c>
    </row>
    <row r="30" spans="1:9" ht="16.5" customHeight="1">
      <c r="A30" s="187" t="s">
        <v>6</v>
      </c>
      <c r="B30" s="187">
        <v>9398</v>
      </c>
      <c r="C30" s="225">
        <v>9522</v>
      </c>
      <c r="D30" s="274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>
      <c r="A31" s="187" t="s">
        <v>36</v>
      </c>
      <c r="B31" s="187">
        <v>27</v>
      </c>
      <c r="C31" s="225">
        <v>31</v>
      </c>
      <c r="D31" s="275"/>
      <c r="E31" s="188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>
      <c r="A32" s="187" t="s">
        <v>37</v>
      </c>
      <c r="B32" s="187">
        <f>K$9</f>
        <v>1335</v>
      </c>
      <c r="C32" s="187">
        <f>L$9</f>
        <v>1526</v>
      </c>
      <c r="D32" s="276"/>
      <c r="E32" s="188">
        <f>C32-B32</f>
        <v>191</v>
      </c>
      <c r="F32" s="57">
        <f>$O$9*D30</f>
        <v>0</v>
      </c>
      <c r="G32" s="135">
        <f>F32*$L$3</f>
        <v>0</v>
      </c>
      <c r="H32" s="138"/>
    </row>
    <row r="33" spans="1:9" s="2" customFormat="1" ht="24.4" customHeight="1">
      <c r="A33" s="159" t="s">
        <v>48</v>
      </c>
      <c r="B33" s="159"/>
      <c r="C33" s="159"/>
      <c r="D33" s="159"/>
      <c r="E33" s="216"/>
      <c r="F33" s="217"/>
      <c r="G33" s="218"/>
      <c r="H33" s="202">
        <f>SUM(G34:G36)</f>
        <v>489200</v>
      </c>
      <c r="I33" s="53">
        <f>F33*12000</f>
        <v>0</v>
      </c>
    </row>
    <row r="34" spans="1:9" ht="16.5" customHeight="1">
      <c r="A34" s="189" t="s">
        <v>6</v>
      </c>
      <c r="B34" s="189">
        <v>13122</v>
      </c>
      <c r="C34" s="224">
        <v>13210</v>
      </c>
      <c r="D34" s="274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>
      <c r="A35" s="187" t="s">
        <v>36</v>
      </c>
      <c r="B35" s="187">
        <v>180</v>
      </c>
      <c r="C35" s="187">
        <v>193</v>
      </c>
      <c r="D35" s="275"/>
      <c r="E35" s="188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>
      <c r="A36" s="187" t="s">
        <v>37</v>
      </c>
      <c r="B36" s="187">
        <f>K$9</f>
        <v>1335</v>
      </c>
      <c r="C36" s="187">
        <f>L$9</f>
        <v>1526</v>
      </c>
      <c r="D36" s="276"/>
      <c r="E36" s="188">
        <f>C36-B36</f>
        <v>191</v>
      </c>
      <c r="F36" s="57">
        <f>$O$9*D34</f>
        <v>0</v>
      </c>
      <c r="G36" s="135">
        <f>F36*$L$3</f>
        <v>0</v>
      </c>
      <c r="H36" s="138"/>
    </row>
    <row r="37" spans="1:9" s="2" customFormat="1" ht="24.4" customHeight="1">
      <c r="A37" s="124" t="s">
        <v>49</v>
      </c>
      <c r="B37" s="124"/>
      <c r="C37" s="124"/>
      <c r="D37" s="124"/>
      <c r="E37" s="125"/>
      <c r="F37" s="126"/>
      <c r="G37" s="128"/>
      <c r="H37" s="131">
        <f>SUM(G38:G40)</f>
        <v>162000</v>
      </c>
      <c r="I37" s="53">
        <f>F37*12000</f>
        <v>0</v>
      </c>
    </row>
    <row r="38" spans="1:9" ht="16.5" customHeight="1">
      <c r="A38" s="5" t="s">
        <v>6</v>
      </c>
      <c r="B38" s="214">
        <v>15334</v>
      </c>
      <c r="C38" s="189">
        <v>15334</v>
      </c>
      <c r="D38" s="280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>
      <c r="A39" s="7" t="s">
        <v>36</v>
      </c>
      <c r="B39" s="215">
        <v>224</v>
      </c>
      <c r="C39" s="225">
        <v>233</v>
      </c>
      <c r="D39" s="281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>
      <c r="A40" s="7" t="s">
        <v>37</v>
      </c>
      <c r="B40" s="7">
        <f>K$9</f>
        <v>1335</v>
      </c>
      <c r="C40" s="225">
        <f>L$9</f>
        <v>1526</v>
      </c>
      <c r="D40" s="282"/>
      <c r="E40" s="8">
        <f>C40-B40</f>
        <v>191</v>
      </c>
      <c r="F40" s="18">
        <f>$O$9*D38</f>
        <v>0</v>
      </c>
      <c r="G40" s="130">
        <f>F40*$L$3</f>
        <v>0</v>
      </c>
      <c r="H40" s="133"/>
    </row>
    <row r="41" spans="1:9" s="209" customFormat="1" ht="24.4" customHeight="1">
      <c r="A41" s="159" t="s">
        <v>50</v>
      </c>
      <c r="B41" s="159"/>
      <c r="C41" s="159"/>
      <c r="D41" s="159"/>
      <c r="E41" s="216"/>
      <c r="F41" s="217"/>
      <c r="G41" s="218"/>
      <c r="H41" s="202">
        <f>SUM(G42:G44)</f>
        <v>1167400</v>
      </c>
      <c r="I41" s="208">
        <f>F41*12000</f>
        <v>0</v>
      </c>
    </row>
    <row r="42" spans="1:9" s="211" customFormat="1" ht="16.5" customHeight="1">
      <c r="A42" s="189" t="s">
        <v>6</v>
      </c>
      <c r="B42" s="189">
        <v>14015</v>
      </c>
      <c r="C42" s="224">
        <v>14281</v>
      </c>
      <c r="D42" s="274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10"/>
    </row>
    <row r="43" spans="1:9" s="211" customFormat="1" ht="16.5" customHeight="1">
      <c r="A43" s="187" t="s">
        <v>36</v>
      </c>
      <c r="B43" s="187">
        <v>103</v>
      </c>
      <c r="C43" s="187">
        <v>125</v>
      </c>
      <c r="D43" s="275"/>
      <c r="E43" s="188">
        <f>C43-B43</f>
        <v>22</v>
      </c>
      <c r="F43" s="57">
        <f>E43</f>
        <v>22</v>
      </c>
      <c r="G43" s="135">
        <f>F43*$L$3</f>
        <v>396000</v>
      </c>
      <c r="H43" s="137"/>
      <c r="I43" s="210"/>
    </row>
    <row r="44" spans="1:9" s="211" customFormat="1" ht="16.5" customHeight="1">
      <c r="A44" s="187" t="s">
        <v>37</v>
      </c>
      <c r="B44" s="187">
        <f>K$9</f>
        <v>1335</v>
      </c>
      <c r="C44" s="225">
        <f>L$9</f>
        <v>1526</v>
      </c>
      <c r="D44" s="276"/>
      <c r="E44" s="188">
        <f>C44-B44</f>
        <v>191</v>
      </c>
      <c r="F44" s="57">
        <f>$O$9*D42</f>
        <v>0</v>
      </c>
      <c r="G44" s="135">
        <f>F44*$L$3</f>
        <v>0</v>
      </c>
      <c r="H44" s="138"/>
      <c r="I44" s="210"/>
    </row>
    <row r="45" spans="1:9" s="2" customFormat="1" ht="24.4" customHeight="1">
      <c r="A45" s="124" t="s">
        <v>51</v>
      </c>
      <c r="B45" s="124"/>
      <c r="C45" s="124"/>
      <c r="D45" s="124"/>
      <c r="E45" s="125"/>
      <c r="F45" s="126"/>
      <c r="G45" s="128"/>
      <c r="H45" s="131">
        <f>SUM(G46:G48)</f>
        <v>0</v>
      </c>
      <c r="I45" s="53">
        <f>F45*12000</f>
        <v>0</v>
      </c>
    </row>
    <row r="46" spans="1:9" ht="16.5" customHeight="1">
      <c r="A46" s="5" t="s">
        <v>6</v>
      </c>
      <c r="B46" s="214">
        <v>14206</v>
      </c>
      <c r="C46" s="224">
        <v>14206</v>
      </c>
      <c r="D46" s="283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>
      <c r="A47" s="7" t="s">
        <v>36</v>
      </c>
      <c r="B47" s="215">
        <v>136</v>
      </c>
      <c r="C47" s="225">
        <v>136</v>
      </c>
      <c r="D47" s="284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>
      <c r="A48" s="7" t="s">
        <v>37</v>
      </c>
      <c r="B48" s="7">
        <f>K$9</f>
        <v>1335</v>
      </c>
      <c r="C48" s="7">
        <f>L$9</f>
        <v>1526</v>
      </c>
      <c r="D48" s="285"/>
      <c r="E48" s="8">
        <f>C48-B48</f>
        <v>191</v>
      </c>
      <c r="F48" s="18">
        <f>$O$9*D46</f>
        <v>0</v>
      </c>
      <c r="G48" s="130">
        <f>F48*$L$3</f>
        <v>0</v>
      </c>
      <c r="H48" s="133"/>
    </row>
    <row r="49" spans="1:9" s="2" customFormat="1" ht="24.4" customHeight="1">
      <c r="A49" s="124" t="s">
        <v>52</v>
      </c>
      <c r="B49" s="124"/>
      <c r="C49" s="124"/>
      <c r="D49" s="124"/>
      <c r="E49" s="125"/>
      <c r="F49" s="126"/>
      <c r="G49" s="128"/>
      <c r="H49" s="131">
        <f>SUM(G50:G52)</f>
        <v>3895700</v>
      </c>
      <c r="I49" s="53">
        <f>F49*12000</f>
        <v>0</v>
      </c>
    </row>
    <row r="50" spans="1:9" ht="16.5" customHeight="1">
      <c r="A50" s="5" t="s">
        <v>6</v>
      </c>
      <c r="B50" s="214">
        <v>12567</v>
      </c>
      <c r="C50" s="224">
        <v>12520</v>
      </c>
      <c r="D50" s="280">
        <f>VLOOKUP(RIGHT(LEFT(A49,11),4),'so nguoi'!$K$8:$N$21,2,0)</f>
        <v>4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>
      <c r="A51" s="7" t="s">
        <v>36</v>
      </c>
      <c r="B51" s="215">
        <v>206</v>
      </c>
      <c r="C51" s="225">
        <v>239</v>
      </c>
      <c r="D51" s="281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>
      <c r="A52" s="7" t="s">
        <v>37</v>
      </c>
      <c r="B52" s="7">
        <f>K$9</f>
        <v>1335</v>
      </c>
      <c r="C52" s="7">
        <f>L$9</f>
        <v>1526</v>
      </c>
      <c r="D52" s="282"/>
      <c r="E52" s="8">
        <f>C52-B52</f>
        <v>191</v>
      </c>
      <c r="F52" s="18">
        <f>$O$9*D50</f>
        <v>191</v>
      </c>
      <c r="G52" s="130">
        <f>F52*$L$3</f>
        <v>3438000</v>
      </c>
      <c r="H52" s="133"/>
    </row>
    <row r="53" spans="1:9" s="2" customFormat="1" ht="24.4" customHeight="1">
      <c r="A53" s="124" t="s">
        <v>53</v>
      </c>
      <c r="B53" s="124"/>
      <c r="C53" s="124"/>
      <c r="D53" s="124"/>
      <c r="E53" s="125"/>
      <c r="F53" s="126"/>
      <c r="G53" s="128"/>
      <c r="H53" s="131">
        <f>SUM(G54:G56)</f>
        <v>1260000</v>
      </c>
      <c r="I53" s="53">
        <f>F53*12000</f>
        <v>0</v>
      </c>
    </row>
    <row r="54" spans="1:9" ht="16.5" customHeight="1">
      <c r="A54" s="5" t="s">
        <v>6</v>
      </c>
      <c r="B54" s="189">
        <v>1283</v>
      </c>
      <c r="C54" s="224">
        <v>1283</v>
      </c>
      <c r="D54" s="283">
        <f>VLOOKUP(RIGHT(LEFT(A53,11),4),'so nguoi'!$K$8:$N$21,2,0)</f>
        <v>6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>
      <c r="A55" s="55" t="s">
        <v>36</v>
      </c>
      <c r="B55" s="187">
        <v>133</v>
      </c>
      <c r="C55" s="225">
        <v>131</v>
      </c>
      <c r="D55" s="284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>
      <c r="A56" s="55" t="s">
        <v>37</v>
      </c>
      <c r="B56" s="7">
        <f>K$10</f>
        <v>834</v>
      </c>
      <c r="C56" s="7">
        <f>L$10</f>
        <v>906</v>
      </c>
      <c r="D56" s="285"/>
      <c r="E56" s="56">
        <f>C56-B56</f>
        <v>72</v>
      </c>
      <c r="F56" s="18">
        <f>$O$10*D54</f>
        <v>72</v>
      </c>
      <c r="G56" s="135">
        <f>F56*$L$3</f>
        <v>1296000</v>
      </c>
      <c r="H56" s="138"/>
      <c r="I56" s="58"/>
    </row>
    <row r="57" spans="1:9" s="2" customFormat="1" ht="24.4" customHeight="1">
      <c r="A57" s="159" t="s">
        <v>54</v>
      </c>
      <c r="B57" s="159"/>
      <c r="C57" s="159"/>
      <c r="D57" s="159"/>
      <c r="E57" s="216"/>
      <c r="F57" s="217"/>
      <c r="G57" s="218"/>
      <c r="H57" s="202">
        <f>SUM(G58:G60)</f>
        <v>1088300</v>
      </c>
      <c r="I57" s="53">
        <f>F57*12000</f>
        <v>0</v>
      </c>
    </row>
    <row r="58" spans="1:9" s="59" customFormat="1" ht="16.5" customHeight="1">
      <c r="A58" s="189" t="s">
        <v>6</v>
      </c>
      <c r="B58" s="224">
        <v>6285</v>
      </c>
      <c r="C58" s="189">
        <v>6412</v>
      </c>
      <c r="D58" s="274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>
      <c r="A59" s="187" t="s">
        <v>36</v>
      </c>
      <c r="B59" s="225">
        <v>96</v>
      </c>
      <c r="C59" s="187">
        <v>136</v>
      </c>
      <c r="D59" s="275"/>
      <c r="E59" s="188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>
      <c r="A60" s="187" t="s">
        <v>37</v>
      </c>
      <c r="B60" s="187">
        <f>K$10</f>
        <v>834</v>
      </c>
      <c r="C60" s="225">
        <f>L$10</f>
        <v>906</v>
      </c>
      <c r="D60" s="276"/>
      <c r="E60" s="188">
        <f>C60-B60</f>
        <v>72</v>
      </c>
      <c r="F60" s="57">
        <f>$O$10*D58</f>
        <v>0</v>
      </c>
      <c r="G60" s="135">
        <f>F60*$L$3</f>
        <v>0</v>
      </c>
      <c r="H60" s="138"/>
      <c r="I60" s="58"/>
    </row>
    <row r="61" spans="1:9" s="2" customFormat="1" ht="24.4" customHeight="1">
      <c r="A61" s="124" t="s">
        <v>55</v>
      </c>
      <c r="B61" s="124"/>
      <c r="C61" s="124"/>
      <c r="D61" s="124"/>
      <c r="E61" s="125"/>
      <c r="F61" s="126"/>
      <c r="G61" s="128"/>
      <c r="H61" s="131">
        <f>SUM(G62:G64)</f>
        <v>0</v>
      </c>
      <c r="I61" s="53">
        <f>F61*12000</f>
        <v>0</v>
      </c>
    </row>
    <row r="62" spans="1:9" s="59" customFormat="1" ht="16.5" customHeight="1">
      <c r="A62" s="55" t="s">
        <v>6</v>
      </c>
      <c r="B62" s="187">
        <v>9916</v>
      </c>
      <c r="C62" s="187">
        <v>9916</v>
      </c>
      <c r="D62" s="280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>
      <c r="A63" s="55" t="s">
        <v>36</v>
      </c>
      <c r="B63" s="187">
        <v>80</v>
      </c>
      <c r="C63" s="55">
        <v>80</v>
      </c>
      <c r="D63" s="281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>
      <c r="A64" s="55" t="s">
        <v>37</v>
      </c>
      <c r="B64" s="7">
        <f>K$10</f>
        <v>834</v>
      </c>
      <c r="C64" s="7">
        <f>L$10</f>
        <v>906</v>
      </c>
      <c r="D64" s="282"/>
      <c r="E64" s="56">
        <f>C64-B64</f>
        <v>72</v>
      </c>
      <c r="F64" s="18">
        <f>$O$10*D62</f>
        <v>0</v>
      </c>
      <c r="G64" s="135">
        <f>F64*$L$3</f>
        <v>0</v>
      </c>
      <c r="H64" s="138"/>
      <c r="I64" s="58"/>
    </row>
    <row r="65" spans="1:10" s="2" customFormat="1" ht="24.4" customHeight="1">
      <c r="A65" s="124" t="s">
        <v>56</v>
      </c>
      <c r="B65" s="124"/>
      <c r="C65" s="124"/>
      <c r="D65" s="124"/>
      <c r="E65" s="125"/>
      <c r="F65" s="126"/>
      <c r="G65" s="128"/>
      <c r="H65" s="131">
        <f>SUM(G66:G68)</f>
        <v>113200</v>
      </c>
      <c r="I65" s="53">
        <f>F65*12000</f>
        <v>0</v>
      </c>
    </row>
    <row r="66" spans="1:10" s="59" customFormat="1" ht="16.5" customHeight="1">
      <c r="A66" s="60" t="s">
        <v>6</v>
      </c>
      <c r="B66" s="214">
        <v>2589</v>
      </c>
      <c r="C66" s="224">
        <v>2597</v>
      </c>
      <c r="D66" s="280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>
      <c r="A67" s="55" t="s">
        <v>36</v>
      </c>
      <c r="B67" s="215">
        <v>130</v>
      </c>
      <c r="C67" s="225">
        <v>135</v>
      </c>
      <c r="D67" s="281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>
      <c r="A68" s="55" t="s">
        <v>37</v>
      </c>
      <c r="B68" s="7">
        <f>K$10</f>
        <v>834</v>
      </c>
      <c r="C68" s="7">
        <f>L$10</f>
        <v>906</v>
      </c>
      <c r="D68" s="282"/>
      <c r="E68" s="56">
        <f>C68-B68</f>
        <v>72</v>
      </c>
      <c r="F68" s="18">
        <f>$O$10*D66</f>
        <v>0</v>
      </c>
      <c r="G68" s="135">
        <f>F68*$L$3</f>
        <v>0</v>
      </c>
      <c r="H68" s="138"/>
      <c r="I68" s="58"/>
    </row>
    <row r="69" spans="1:10" s="2" customFormat="1" ht="24.4" customHeight="1">
      <c r="A69" s="124" t="s">
        <v>57</v>
      </c>
      <c r="B69" s="124"/>
      <c r="C69" s="124"/>
      <c r="D69" s="124"/>
      <c r="E69" s="125"/>
      <c r="F69" s="126"/>
      <c r="G69" s="128"/>
      <c r="H69" s="131">
        <f>SUM(G70:G72)</f>
        <v>801900</v>
      </c>
      <c r="I69" s="53">
        <f>F69*12000</f>
        <v>0</v>
      </c>
    </row>
    <row r="70" spans="1:10" ht="16.5" customHeight="1">
      <c r="A70" s="5" t="s">
        <v>6</v>
      </c>
      <c r="B70" s="189">
        <v>3985</v>
      </c>
      <c r="C70" s="189">
        <v>4156</v>
      </c>
      <c r="D70" s="283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>
      <c r="A71" s="7" t="s">
        <v>36</v>
      </c>
      <c r="B71" s="187">
        <v>130</v>
      </c>
      <c r="C71" s="187">
        <v>147</v>
      </c>
      <c r="D71" s="284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>
      <c r="A72" s="7" t="s">
        <v>37</v>
      </c>
      <c r="B72" s="7">
        <f>K$10</f>
        <v>834</v>
      </c>
      <c r="C72" s="7">
        <f>L$10</f>
        <v>906</v>
      </c>
      <c r="D72" s="285"/>
      <c r="E72" s="8">
        <f>C72-B72</f>
        <v>72</v>
      </c>
      <c r="F72" s="18">
        <f>$O$10*D70</f>
        <v>0</v>
      </c>
      <c r="G72" s="130">
        <f>F72*$L$3</f>
        <v>0</v>
      </c>
      <c r="H72" s="133"/>
    </row>
    <row r="73" spans="1:10" s="2" customFormat="1" ht="24.4" customHeight="1">
      <c r="A73" s="124" t="s">
        <v>194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>
      <c r="A75" s="124" t="s">
        <v>193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>
      <c r="A77" s="9" t="s">
        <v>192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>
      <c r="A79" s="14" t="s">
        <v>195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>
        <f>SUM(H9:H81)</f>
        <v>22837100</v>
      </c>
    </row>
    <row r="82" spans="1:11" ht="16.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>
      <c r="A83" s="267" t="s">
        <v>13</v>
      </c>
      <c r="B83" s="268"/>
      <c r="C83" s="268"/>
      <c r="D83" s="268"/>
      <c r="E83" s="268"/>
      <c r="F83" s="269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>
      <c r="A84" s="267" t="s">
        <v>14</v>
      </c>
      <c r="B84" s="268"/>
      <c r="C84" s="268"/>
      <c r="D84" s="268"/>
      <c r="E84" s="268"/>
      <c r="F84" s="269"/>
      <c r="G84" s="73">
        <f ca="1">SUMIF($A$8:$F$82,"Nước nhà tắm",G8:G82)+SUMIF($A$8:$F$82,"Nước Nhà VS",G8:G82)</f>
        <v>18432000</v>
      </c>
      <c r="H84" s="103">
        <f>SUMIF($A$9:$A$82,"Nước nhà tắm",F9:F82)+SUMIF($A$9:$A$82,"Nước Nhà VS",F9:F82)</f>
        <v>1024</v>
      </c>
      <c r="I84" s="104">
        <f>H84*15000</f>
        <v>15360000</v>
      </c>
      <c r="J84" s="106">
        <f ca="1">I84-G84</f>
        <v>-3072000</v>
      </c>
      <c r="K84" s="25">
        <f ca="1">G84/15000</f>
        <v>1228.8</v>
      </c>
    </row>
    <row r="85" spans="1:11" ht="23.25" customHeight="1">
      <c r="A85" s="267" t="s">
        <v>15</v>
      </c>
      <c r="B85" s="268"/>
      <c r="C85" s="268"/>
      <c r="D85" s="268"/>
      <c r="E85" s="268"/>
      <c r="F85" s="269"/>
      <c r="G85" s="73">
        <f ca="1">SUM(G83:G84)</f>
        <v>22837100</v>
      </c>
      <c r="H85" s="74"/>
      <c r="J85" s="25"/>
    </row>
    <row r="86" spans="1:11" ht="7.5" customHeight="1">
      <c r="A86" s="75"/>
      <c r="B86" s="76"/>
      <c r="C86" s="75"/>
      <c r="D86" s="77"/>
      <c r="E86" s="78"/>
      <c r="F86" s="79"/>
      <c r="G86" s="78"/>
      <c r="H86" s="75"/>
    </row>
    <row r="87" spans="1:11">
      <c r="A87" s="75"/>
      <c r="B87" s="75"/>
      <c r="C87" s="75"/>
      <c r="D87" s="77"/>
      <c r="E87" s="78"/>
      <c r="F87" s="279" t="str">
        <f ca="1">" TP. Hồ Chí Minh, ngày "&amp;DAY(NOW())&amp;" tháng "&amp;MONTH(NOW())&amp;" năm "&amp;YEAR(NOW())</f>
        <v xml:space="preserve"> TP. Hồ Chí Minh, ngày 7 tháng 1 năm 2021</v>
      </c>
      <c r="G87" s="279"/>
      <c r="H87" s="279"/>
      <c r="J87" s="25"/>
      <c r="K87" s="25"/>
    </row>
    <row r="88" spans="1:11">
      <c r="A88" s="271" t="s">
        <v>17</v>
      </c>
      <c r="B88" s="271"/>
      <c r="C88" s="271"/>
      <c r="D88" s="77"/>
      <c r="E88" s="78"/>
      <c r="F88" s="272" t="s">
        <v>16</v>
      </c>
      <c r="G88" s="272"/>
      <c r="H88" s="272"/>
      <c r="J88" s="25"/>
    </row>
    <row r="89" spans="1:11">
      <c r="A89" s="75"/>
      <c r="B89" s="75"/>
      <c r="C89" s="75"/>
      <c r="D89" s="77"/>
      <c r="E89" s="78"/>
      <c r="F89" s="79"/>
      <c r="G89" s="80"/>
      <c r="H89" s="81"/>
    </row>
    <row r="90" spans="1:11">
      <c r="A90" s="75"/>
      <c r="B90" s="75"/>
      <c r="C90" s="75"/>
      <c r="D90" s="77"/>
      <c r="E90" s="78"/>
      <c r="F90" s="79"/>
      <c r="G90" s="78"/>
      <c r="H90" s="75"/>
    </row>
    <row r="91" spans="1:11">
      <c r="A91" s="75"/>
      <c r="B91" s="75"/>
      <c r="C91" s="75"/>
      <c r="D91" s="77"/>
      <c r="E91" s="78"/>
      <c r="F91" s="79"/>
      <c r="G91" s="82"/>
      <c r="H91" s="75"/>
    </row>
    <row r="92" spans="1:11">
      <c r="A92" s="263" t="s">
        <v>149</v>
      </c>
      <c r="B92" s="263"/>
      <c r="C92" s="263"/>
      <c r="D92" s="77"/>
      <c r="E92" s="78"/>
      <c r="F92" s="264" t="s">
        <v>205</v>
      </c>
      <c r="G92" s="264"/>
      <c r="H92" s="264"/>
    </row>
    <row r="94" spans="1:11">
      <c r="A94" s="1"/>
    </row>
    <row r="95" spans="1:11" ht="28.15" customHeight="1">
      <c r="A95" s="265" t="s">
        <v>186</v>
      </c>
      <c r="B95" s="265"/>
      <c r="D95"/>
      <c r="E95"/>
      <c r="F95"/>
      <c r="G95"/>
      <c r="I95"/>
    </row>
    <row r="96" spans="1:11" ht="24.4" customHeight="1">
      <c r="A96" t="s">
        <v>185</v>
      </c>
      <c r="D96"/>
      <c r="E96"/>
      <c r="F96"/>
      <c r="G96"/>
      <c r="I96"/>
    </row>
    <row r="97" spans="3:9">
      <c r="C97" s="50"/>
      <c r="D97"/>
      <c r="E97"/>
      <c r="F97"/>
      <c r="G97"/>
      <c r="I97"/>
    </row>
    <row r="98" spans="3:9">
      <c r="C98" s="50"/>
      <c r="D98"/>
      <c r="E98"/>
      <c r="F98"/>
      <c r="G98"/>
      <c r="I98"/>
    </row>
  </sheetData>
  <mergeCells count="28"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</mergeCells>
  <phoneticPr fontId="0" type="noConversion"/>
  <pageMargins left="0.22" right="0.18" top="0.33" bottom="0.21" header="0.17" footer="0.3"/>
  <pageSetup paperSize="9" fitToHeight="0" orientation="portrait" r:id="rId1"/>
  <headerFooter alignWithMargins="0"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zoomScaleSheetLayoutView="115" workbookViewId="0">
      <selection activeCell="E5" sqref="E5"/>
    </sheetView>
  </sheetViews>
  <sheetFormatPr defaultRowHeight="1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>
      <c r="A1" s="171" t="s">
        <v>213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>
      <c r="A2" s="172" t="s">
        <v>212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>
      <c r="D3" s="4"/>
      <c r="E3" s="3"/>
      <c r="F3" s="21"/>
      <c r="G3" s="3"/>
      <c r="I3" s="50"/>
    </row>
    <row r="4" spans="1:15" ht="36.75" customHeight="1">
      <c r="A4" s="286" t="str">
        <f>"BẢNG TỔNG HỢP 
ĐIỆN - NƯỚC SINH HOẠT KÝ TÚC XÁ KHU C &amp; K " &amp; 'Khu K107-K211'!L1</f>
        <v>BẢNG TỔNG HỢP 
ĐIỆN - NƯỚC SINH HOẠT KÝ TÚC XÁ KHU C &amp; K THÁNG 12/2020</v>
      </c>
      <c r="B4" s="286"/>
      <c r="C4" s="286"/>
      <c r="D4" s="286"/>
      <c r="E4" s="286"/>
      <c r="F4" s="170"/>
      <c r="G4" s="170"/>
      <c r="H4" s="170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33">
      <c r="A5" s="75"/>
      <c r="B5" s="75"/>
      <c r="C5" s="75"/>
      <c r="D5" s="77"/>
      <c r="E5" s="78"/>
      <c r="F5" s="79"/>
      <c r="G5" s="78"/>
      <c r="H5" s="75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75"/>
      <c r="C6" s="75"/>
      <c r="D6" s="114" t="s">
        <v>300</v>
      </c>
      <c r="F6" s="79"/>
      <c r="H6" s="114"/>
      <c r="I6" s="114"/>
      <c r="J6" s="75" t="s">
        <v>62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29</v>
      </c>
      <c r="O6" s="75">
        <f t="shared" ref="O6:O7" si="1">M6/N6</f>
        <v>0.55172413793103448</v>
      </c>
    </row>
    <row r="7" spans="1:15">
      <c r="A7" s="75"/>
      <c r="B7" s="75"/>
      <c r="C7" s="75"/>
      <c r="D7" s="114" t="s">
        <v>302</v>
      </c>
      <c r="F7" s="79"/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20</v>
      </c>
      <c r="O7" s="75">
        <f t="shared" si="1"/>
        <v>2.15</v>
      </c>
    </row>
    <row r="8" spans="1:15">
      <c r="A8" s="75"/>
      <c r="B8" s="75"/>
      <c r="C8" s="75"/>
      <c r="D8" s="75"/>
      <c r="E8" s="75"/>
    </row>
    <row r="9" spans="1:15">
      <c r="A9" s="75"/>
      <c r="B9" s="75"/>
      <c r="C9" s="75"/>
      <c r="D9" s="75"/>
      <c r="E9" s="75"/>
    </row>
    <row r="10" spans="1:15">
      <c r="A10" s="248" t="s">
        <v>206</v>
      </c>
      <c r="B10" s="248" t="s">
        <v>207</v>
      </c>
      <c r="C10" s="248" t="s">
        <v>208</v>
      </c>
      <c r="D10" s="248" t="s">
        <v>209</v>
      </c>
      <c r="E10" s="248" t="s">
        <v>166</v>
      </c>
    </row>
    <row r="11" spans="1:15">
      <c r="A11" s="174">
        <v>1</v>
      </c>
      <c r="B11" s="249" t="s">
        <v>210</v>
      </c>
      <c r="C11" s="175">
        <f ca="1">'Khu C'!G142</f>
        <v>5217100</v>
      </c>
      <c r="D11" s="175">
        <f ca="1">'Khu C'!G143</f>
        <v>7344000</v>
      </c>
      <c r="E11" s="175">
        <f ca="1">D11+C11</f>
        <v>12561100</v>
      </c>
    </row>
    <row r="12" spans="1:15">
      <c r="A12" s="174">
        <v>2</v>
      </c>
      <c r="B12" s="249" t="s">
        <v>211</v>
      </c>
      <c r="C12" s="175">
        <f ca="1">'Khu K'!G141</f>
        <v>3865700</v>
      </c>
      <c r="D12" s="175">
        <f ca="1">'Khu K'!G142</f>
        <v>3348000</v>
      </c>
      <c r="E12" s="175">
        <f ca="1">D12+C12</f>
        <v>7213700</v>
      </c>
    </row>
    <row r="13" spans="1:15">
      <c r="A13" s="287" t="s">
        <v>166</v>
      </c>
      <c r="B13" s="288"/>
      <c r="C13" s="288"/>
      <c r="D13" s="289"/>
      <c r="E13" s="176">
        <f ca="1">E11+E12</f>
        <v>19774800</v>
      </c>
    </row>
    <row r="14" spans="1:15">
      <c r="A14" s="75"/>
      <c r="B14" s="75"/>
      <c r="C14" s="75"/>
      <c r="D14" s="75"/>
      <c r="E14" s="75"/>
    </row>
    <row r="15" spans="1:15">
      <c r="A15" s="75"/>
      <c r="B15" s="75"/>
      <c r="C15" s="75"/>
      <c r="D15" s="177" t="str">
        <f ca="1">" TP. Hồ Chí Minh, ngày "&amp;DAY(NOW())&amp;" tháng "&amp;MONTH(NOW())&amp;" năm "&amp;YEAR(NOW())</f>
        <v xml:space="preserve"> TP. Hồ Chí Minh, ngày 7 tháng 1 năm 2021</v>
      </c>
      <c r="E15" s="75"/>
    </row>
    <row r="16" spans="1:15">
      <c r="A16" s="75"/>
      <c r="B16" s="75"/>
      <c r="C16" s="75"/>
      <c r="D16" s="75"/>
      <c r="E16" s="75"/>
    </row>
    <row r="17" spans="1:5">
      <c r="A17" s="75"/>
      <c r="B17" s="75"/>
      <c r="C17" s="247" t="s">
        <v>17</v>
      </c>
      <c r="D17" s="75"/>
      <c r="E17" s="250" t="s">
        <v>16</v>
      </c>
    </row>
    <row r="18" spans="1:5">
      <c r="A18" s="75"/>
      <c r="B18" s="75"/>
      <c r="C18" s="149"/>
      <c r="D18" s="75"/>
      <c r="E18" s="173"/>
    </row>
    <row r="19" spans="1:5">
      <c r="A19" s="75"/>
      <c r="B19" s="75"/>
      <c r="C19" s="149"/>
      <c r="D19" s="75"/>
      <c r="E19" s="173"/>
    </row>
    <row r="20" spans="1:5">
      <c r="A20" s="75"/>
      <c r="B20" s="75"/>
      <c r="C20" s="149"/>
      <c r="D20" s="75"/>
      <c r="E20" s="173"/>
    </row>
    <row r="21" spans="1:5">
      <c r="C21" s="149"/>
      <c r="D21" s="75"/>
      <c r="E21" s="173"/>
    </row>
    <row r="22" spans="1:5">
      <c r="C22" s="149"/>
      <c r="D22" s="75"/>
      <c r="E22" s="173"/>
    </row>
    <row r="23" spans="1:5">
      <c r="C23" s="247" t="s">
        <v>303</v>
      </c>
      <c r="D23" s="75"/>
      <c r="E23" s="250" t="s">
        <v>205</v>
      </c>
    </row>
    <row r="26" spans="1:5">
      <c r="C26" s="25"/>
    </row>
  </sheetData>
  <mergeCells count="2">
    <mergeCell ref="A4:E4"/>
    <mergeCell ref="A13:D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1" workbookViewId="0">
      <selection activeCell="C11" sqref="C11"/>
    </sheetView>
  </sheetViews>
  <sheetFormatPr defaultColWidth="9" defaultRowHeight="1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/>
    <row r="2" spans="2:22">
      <c r="B2" s="44" t="s">
        <v>151</v>
      </c>
      <c r="C2" s="44"/>
      <c r="D2" s="44"/>
      <c r="E2" s="44"/>
      <c r="F2" s="295" t="s">
        <v>152</v>
      </c>
      <c r="G2" s="295"/>
      <c r="H2" s="295"/>
      <c r="I2" s="295"/>
      <c r="J2" s="85"/>
    </row>
    <row r="3" spans="2:22">
      <c r="B3" s="86" t="s">
        <v>153</v>
      </c>
      <c r="C3" s="86"/>
      <c r="D3" s="87"/>
      <c r="E3" s="87"/>
      <c r="F3" s="296" t="s">
        <v>154</v>
      </c>
      <c r="G3" s="296"/>
      <c r="H3" s="296"/>
      <c r="I3" s="296"/>
      <c r="J3" s="45"/>
      <c r="K3" s="26" t="s">
        <v>19</v>
      </c>
      <c r="L3" s="26"/>
    </row>
    <row r="4" spans="2:22" ht="15" customHeight="1">
      <c r="B4" s="27"/>
      <c r="C4" s="28"/>
      <c r="D4" s="28"/>
      <c r="E4" s="28"/>
      <c r="F4" s="28"/>
      <c r="G4" s="28"/>
      <c r="H4" s="28"/>
      <c r="I4" s="29"/>
      <c r="K4" s="150" t="s">
        <v>196</v>
      </c>
      <c r="L4" s="31"/>
      <c r="N4" s="31"/>
    </row>
    <row r="5" spans="2:22" ht="18.75" customHeight="1">
      <c r="B5" s="262" t="str">
        <f>"BẢNG TỔNG HỢP ĐIỆN - NƯỚC SINH HOẠT KÝ TÚC XÁ KHU N " &amp; K4</f>
        <v>BẢNG TỔNG HỢP ĐIỆN - NƯỚC SINH HOẠT KÝ TÚC XÁ KHU N 4/2016</v>
      </c>
      <c r="C5" s="262"/>
      <c r="D5" s="262"/>
      <c r="E5" s="262"/>
      <c r="F5" s="262"/>
      <c r="G5" s="262"/>
      <c r="H5" s="262"/>
      <c r="I5" s="262"/>
      <c r="J5" s="32"/>
      <c r="K5" s="26" t="s">
        <v>20</v>
      </c>
      <c r="L5" s="26"/>
    </row>
    <row r="6" spans="2:22" ht="8.2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>
      <c r="B7" s="297" t="s">
        <v>155</v>
      </c>
      <c r="C7" s="297"/>
      <c r="D7" s="297"/>
      <c r="E7" s="297"/>
      <c r="F7" s="297"/>
      <c r="G7" s="297"/>
      <c r="H7" s="297"/>
      <c r="I7" s="297"/>
      <c r="K7" s="26" t="s">
        <v>21</v>
      </c>
      <c r="L7" s="26"/>
      <c r="N7" s="26" t="s">
        <v>22</v>
      </c>
    </row>
    <row r="8" spans="2:22" ht="18" customHeight="1">
      <c r="B8" s="298" t="s">
        <v>156</v>
      </c>
      <c r="C8" s="298"/>
      <c r="D8" s="298"/>
      <c r="E8" s="298"/>
      <c r="F8" s="298"/>
      <c r="G8" s="298"/>
      <c r="H8" s="298"/>
      <c r="I8" s="298"/>
      <c r="K8" s="33" t="s">
        <v>157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158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>
      <c r="B10" s="143" t="s">
        <v>174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>
      <c r="B11" s="83" t="s">
        <v>33</v>
      </c>
      <c r="C11" s="39">
        <f>L8</f>
        <v>10360</v>
      </c>
      <c r="D11" s="39">
        <f>M8</f>
        <v>10612</v>
      </c>
      <c r="E11" s="299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>
      <c r="B12" s="83" t="s">
        <v>7</v>
      </c>
      <c r="C12" s="39">
        <f>L9</f>
        <v>414</v>
      </c>
      <c r="D12" s="39">
        <f>M9</f>
        <v>570</v>
      </c>
      <c r="E12" s="299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>
      <c r="B13" s="143" t="s">
        <v>173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6.5">
      <c r="B14" s="83" t="s">
        <v>33</v>
      </c>
      <c r="C14" s="93">
        <f>L10</f>
        <v>8733</v>
      </c>
      <c r="D14" s="93">
        <f>M10</f>
        <v>8935</v>
      </c>
      <c r="E14" s="300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159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6.5">
      <c r="B15" s="83" t="s">
        <v>7</v>
      </c>
      <c r="C15" s="93">
        <f>L9</f>
        <v>414</v>
      </c>
      <c r="D15" s="93">
        <f>M9</f>
        <v>570</v>
      </c>
      <c r="E15" s="300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>
      <c r="B16" s="143" t="s">
        <v>167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160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>
      <c r="B17" s="83" t="s">
        <v>33</v>
      </c>
      <c r="C17" s="39">
        <f>L12</f>
        <v>8812</v>
      </c>
      <c r="D17" s="39">
        <f>M12</f>
        <v>9016</v>
      </c>
      <c r="E17" s="299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>
      <c r="B18" s="83" t="s">
        <v>7</v>
      </c>
      <c r="C18" s="39">
        <f>L9</f>
        <v>414</v>
      </c>
      <c r="D18" s="39">
        <f>M9</f>
        <v>570</v>
      </c>
      <c r="E18" s="299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161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>
      <c r="B19" s="143" t="s">
        <v>172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>
      <c r="B20" s="83" t="s">
        <v>6</v>
      </c>
      <c r="C20" s="39">
        <f>L14</f>
        <v>8278</v>
      </c>
      <c r="D20" s="39">
        <f>M14</f>
        <v>8425</v>
      </c>
      <c r="E20" s="299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162</v>
      </c>
      <c r="N20" s="34">
        <v>0</v>
      </c>
      <c r="O20" s="34">
        <f t="shared" si="1"/>
        <v>0</v>
      </c>
    </row>
    <row r="21" spans="2:22" s="34" customFormat="1" ht="16.5">
      <c r="B21" s="83" t="s">
        <v>7</v>
      </c>
      <c r="C21" s="39">
        <f>L9</f>
        <v>414</v>
      </c>
      <c r="D21" s="39">
        <f>M9</f>
        <v>570</v>
      </c>
      <c r="E21" s="299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>
      <c r="B22" s="143" t="s">
        <v>168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163</v>
      </c>
      <c r="N22" s="146">
        <v>0</v>
      </c>
      <c r="O22" s="148">
        <f t="shared" si="1"/>
        <v>0</v>
      </c>
      <c r="V22" s="148"/>
    </row>
    <row r="23" spans="2:22" s="34" customFormat="1" ht="16.5">
      <c r="B23" s="83" t="s">
        <v>33</v>
      </c>
      <c r="C23" s="39">
        <f>L16</f>
        <v>8698</v>
      </c>
      <c r="D23" s="39">
        <f>M16</f>
        <v>9019</v>
      </c>
      <c r="E23" s="293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>
      <c r="B24" s="83" t="s">
        <v>7</v>
      </c>
      <c r="C24" s="39">
        <f>L9</f>
        <v>414</v>
      </c>
      <c r="D24" s="39">
        <f>M9</f>
        <v>570</v>
      </c>
      <c r="E24" s="294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>
      <c r="B25" s="143" t="s">
        <v>169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>
      <c r="B26" s="83" t="s">
        <v>33</v>
      </c>
      <c r="C26" s="39">
        <f>L18</f>
        <v>8257</v>
      </c>
      <c r="D26" s="39">
        <v>8495</v>
      </c>
      <c r="E26" s="299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>
      <c r="B27" s="83" t="s">
        <v>7</v>
      </c>
      <c r="C27" s="39">
        <f>L9</f>
        <v>414</v>
      </c>
      <c r="D27" s="39">
        <f>M9</f>
        <v>570</v>
      </c>
      <c r="E27" s="299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>
      <c r="B28" s="37" t="s">
        <v>170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>
      <c r="B29" s="83" t="s">
        <v>33</v>
      </c>
      <c r="C29" s="39">
        <f>L20</f>
        <v>0</v>
      </c>
      <c r="D29" s="39">
        <f>M20</f>
        <v>0</v>
      </c>
      <c r="E29" s="293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>
      <c r="B30" s="83" t="s">
        <v>7</v>
      </c>
      <c r="C30" s="39">
        <f>L9</f>
        <v>414</v>
      </c>
      <c r="D30" s="39">
        <f>M9</f>
        <v>570</v>
      </c>
      <c r="E30" s="294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>
      <c r="B31" s="37" t="s">
        <v>171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>
      <c r="B32" s="83" t="s">
        <v>33</v>
      </c>
      <c r="C32" s="39">
        <f>L22</f>
        <v>0</v>
      </c>
      <c r="D32" s="39">
        <f>M22</f>
        <v>0</v>
      </c>
      <c r="E32" s="293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>
      <c r="B33" s="83" t="s">
        <v>7</v>
      </c>
      <c r="C33" s="39">
        <f>L9</f>
        <v>414</v>
      </c>
      <c r="D33" s="39">
        <f>M9</f>
        <v>570</v>
      </c>
      <c r="E33" s="294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>
      <c r="B34" s="290" t="s">
        <v>164</v>
      </c>
      <c r="C34" s="291"/>
      <c r="D34" s="291"/>
      <c r="E34" s="291"/>
      <c r="F34" s="291"/>
      <c r="G34" s="292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>
      <c r="B35" s="290" t="s">
        <v>165</v>
      </c>
      <c r="C35" s="291"/>
      <c r="D35" s="291"/>
      <c r="E35" s="291"/>
      <c r="F35" s="291"/>
      <c r="G35" s="292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>
      <c r="B36" s="290" t="s">
        <v>166</v>
      </c>
      <c r="C36" s="291"/>
      <c r="D36" s="291"/>
      <c r="E36" s="291"/>
      <c r="F36" s="291"/>
      <c r="G36" s="292"/>
      <c r="H36" s="100" t="e">
        <f>SUM(H34:H35)</f>
        <v>#DIV/0!</v>
      </c>
      <c r="I36" s="102"/>
      <c r="J36" s="1"/>
    </row>
    <row r="37" spans="1:12">
      <c r="A37" s="75"/>
      <c r="B37" s="75"/>
      <c r="C37" s="75"/>
      <c r="D37" s="77"/>
      <c r="E37" s="78"/>
      <c r="F37" s="270" t="str">
        <f ca="1">" TP. Hồ Chí Minh, ngày "&amp;DAY(NOW())&amp;" tháng "&amp;MONTH(NOW())&amp;" năm "&amp;YEAR(NOW())</f>
        <v xml:space="preserve"> TP. Hồ Chí Minh, ngày 7 tháng 1 năm 2021</v>
      </c>
      <c r="G37" s="270"/>
      <c r="H37" s="270"/>
      <c r="I37" s="270"/>
      <c r="J37" s="25"/>
      <c r="K37" s="25"/>
    </row>
    <row r="38" spans="1:12">
      <c r="A38" s="271" t="s">
        <v>17</v>
      </c>
      <c r="B38" s="271"/>
      <c r="C38" s="271"/>
      <c r="D38" s="77"/>
      <c r="E38" s="78"/>
      <c r="F38" s="272" t="s">
        <v>16</v>
      </c>
      <c r="G38" s="272"/>
      <c r="H38" s="272"/>
      <c r="I38" s="272"/>
      <c r="J38" s="25"/>
    </row>
    <row r="39" spans="1:12">
      <c r="A39" s="75"/>
      <c r="B39" s="75"/>
      <c r="C39" s="75"/>
      <c r="D39" s="77"/>
      <c r="E39" s="78"/>
      <c r="F39" s="79"/>
      <c r="G39" s="80"/>
      <c r="H39" s="81"/>
      <c r="I39" s="50"/>
    </row>
    <row r="40" spans="1:12">
      <c r="A40" s="75"/>
      <c r="B40" s="75"/>
      <c r="C40" s="75"/>
      <c r="D40" s="77"/>
      <c r="E40" s="78"/>
      <c r="F40" s="79"/>
      <c r="G40" s="78"/>
      <c r="H40" s="75"/>
      <c r="I40" s="50"/>
    </row>
    <row r="41" spans="1:12">
      <c r="A41" s="75"/>
      <c r="B41" s="75"/>
      <c r="C41" s="75"/>
      <c r="D41" s="77"/>
      <c r="E41" s="78"/>
      <c r="F41" s="79"/>
      <c r="G41" s="82"/>
      <c r="H41" s="75"/>
      <c r="I41" s="50"/>
    </row>
    <row r="42" spans="1:12">
      <c r="A42" s="263" t="s">
        <v>149</v>
      </c>
      <c r="B42" s="263"/>
      <c r="C42" s="263"/>
      <c r="D42" s="77"/>
      <c r="E42" s="78"/>
      <c r="F42" s="264" t="s">
        <v>150</v>
      </c>
      <c r="G42" s="264"/>
      <c r="H42" s="264"/>
      <c r="I42" s="264"/>
    </row>
    <row r="44" spans="1:12" ht="16.5">
      <c r="C44" s="255"/>
      <c r="D44" s="255"/>
      <c r="E44" s="255"/>
      <c r="G44" s="255"/>
      <c r="H44" s="255"/>
    </row>
    <row r="45" spans="1:12" ht="28.15" customHeight="1">
      <c r="A45" t="s">
        <v>184</v>
      </c>
      <c r="D45" s="4"/>
      <c r="E45" s="3"/>
      <c r="F45" s="21"/>
      <c r="G45" s="3"/>
    </row>
    <row r="46" spans="1:12" ht="24.4" customHeight="1">
      <c r="A46" t="s">
        <v>185</v>
      </c>
      <c r="B46" t="s">
        <v>186</v>
      </c>
      <c r="D46" s="4"/>
      <c r="E46" s="3"/>
      <c r="F46" s="21"/>
      <c r="G46" s="3"/>
    </row>
    <row r="47" spans="1:12">
      <c r="B47" t="s">
        <v>185</v>
      </c>
    </row>
  </sheetData>
  <mergeCells count="23"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  <mergeCell ref="B34:G34"/>
    <mergeCell ref="B35:G35"/>
    <mergeCell ref="B36:G36"/>
    <mergeCell ref="F37:I37"/>
    <mergeCell ref="F38:I38"/>
    <mergeCell ref="C44:E44"/>
    <mergeCell ref="G44:H44"/>
    <mergeCell ref="A38:C38"/>
    <mergeCell ref="A42:C42"/>
    <mergeCell ref="F42:I42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so nguoi</vt:lpstr>
      <vt:lpstr>Khu C</vt:lpstr>
      <vt:lpstr>Khu C108-C214</vt:lpstr>
      <vt:lpstr>Khu K</vt:lpstr>
      <vt:lpstr>Khu K107-K211</vt:lpstr>
      <vt:lpstr>TỔNG HỢP</vt:lpstr>
      <vt:lpstr>Khu N</vt:lpstr>
      <vt:lpstr>Sheet1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THINH</cp:lastModifiedBy>
  <cp:lastPrinted>2020-12-18T02:35:59Z</cp:lastPrinted>
  <dcterms:created xsi:type="dcterms:W3CDTF">2015-11-25T00:57:48Z</dcterms:created>
  <dcterms:modified xsi:type="dcterms:W3CDTF">2021-01-07T02:31:37Z</dcterms:modified>
</cp:coreProperties>
</file>